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NkxSp54pQaJTPtswmIpHZo04m3HGNRoieXA+1U2On3sJfY3dBYBzWjDVNF/JKZ1xSeY7/S/lFiiqb9V172O0KQ==" workbookSaltValue="CrUjC19F0aT356STfwaqz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F16" i="8"/>
  <c r="BD9" i="8"/>
  <c r="L10" i="2"/>
  <c r="X21" i="20"/>
  <c r="AH14" i="16"/>
  <c r="L16" i="2"/>
  <c r="L18" i="2"/>
  <c r="AO14" i="21"/>
  <c r="X16" i="16"/>
  <c r="X23" i="16" s="1"/>
  <c r="L9" i="2"/>
  <c r="AP14" i="16"/>
  <c r="V25"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L17" i="14" l="1"/>
  <c r="T31" i="8"/>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O12" i="11"/>
  <c r="H32" i="17"/>
  <c r="AW32" i="11"/>
  <c r="AV32" i="2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Q32" i="21"/>
  <c r="J32" i="17"/>
  <c r="AO32" i="17"/>
  <c r="AE32" i="11"/>
  <c r="AP32" i="21"/>
  <c r="AP32" i="16"/>
  <c r="Y32" i="17"/>
  <c r="O32" i="21"/>
  <c r="AO32" i="11"/>
  <c r="AW32" i="21"/>
  <c r="AZ32" i="16"/>
  <c r="Q32" i="16"/>
  <c r="Z32" i="16"/>
  <c r="V32" i="17"/>
  <c r="BS32" i="16"/>
  <c r="BC32" i="21"/>
  <c r="L32" i="11"/>
  <c r="H32" i="12"/>
  <c r="V32" i="11"/>
  <c r="P32" i="11"/>
  <c r="S32" i="16"/>
  <c r="H32" i="16"/>
  <c r="AA32" i="11"/>
  <c r="AC32" i="11"/>
  <c r="AO32" i="21"/>
  <c r="AM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H32" i="11"/>
  <c r="AK32" i="17"/>
  <c r="AT32" i="20"/>
  <c r="E32" i="11"/>
  <c r="V32" i="20"/>
  <c r="AH32" i="21"/>
  <c r="T32" i="16"/>
  <c r="AT32" i="16"/>
  <c r="AV32" i="17"/>
  <c r="X32" i="11"/>
  <c r="U32" i="17"/>
  <c r="AS32" i="16"/>
  <c r="M32" i="17"/>
  <c r="L32" i="16"/>
  <c r="AN32" i="17"/>
  <c r="AU32" i="16"/>
  <c r="AA32" i="17"/>
  <c r="O32" i="17"/>
  <c r="AB32" i="21"/>
  <c r="X32" i="17"/>
  <c r="BD32" i="21"/>
  <c r="AS32" i="21"/>
  <c r="AR32" i="17"/>
  <c r="X32" i="21"/>
  <c r="Y32" i="11"/>
  <c r="AB32" i="16"/>
  <c r="AG32" i="11"/>
  <c r="AE32" i="21"/>
  <c r="AD32" i="21"/>
  <c r="K32" i="21"/>
  <c r="AY32" i="16"/>
  <c r="AS32" i="17"/>
  <c r="AY32" i="21"/>
  <c r="N32" i="21"/>
  <c r="S32" i="21"/>
  <c r="AW32" i="17"/>
  <c r="L32" i="21"/>
  <c r="AF32" i="11"/>
  <c r="AK32" i="16"/>
  <c r="AL32" i="17"/>
  <c r="I32" i="21"/>
  <c r="U32" i="11"/>
  <c r="AF32" i="17"/>
  <c r="BF32" i="16"/>
  <c r="X32" i="16"/>
  <c r="AL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<sst xmlns="http://schemas.openxmlformats.org/spreadsheetml/2006/main" count="2654" uniqueCount="1185">
  <si>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</si>
  <si>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</si>
  <si>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</si>
  <si>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</si>
  <si>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</si>
  <si>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</si>
  <si>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</si>
  <si>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</si>
  <si>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</si>
  <si>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</si>
  <si>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</si>
  <si>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</si>
  <si>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</si>
  <si>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</si>
  <si>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</si>
  <si>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</si>
  <si>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</si>
  <si>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</si>
  <si>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</si>
  <si>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</si>
  <si>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</si>
  <si>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</si>
  <si>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</si>
  <si>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</si>
  <si>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</si>
  <si>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</si>
  <si>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</si>
  <si>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</si>
  <si>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</si>
  <si>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</si>
  <si>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</si>
  <si>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</si>
  <si>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</si>
  <si>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</si>
  <si>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</si>
  <si>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</si>
  <si>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</si>
  <si>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</si>
  <si>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</si>
  <si>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</si>
  <si>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</si>
  <si>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</si>
  <si>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</si>
  <si>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</si>
  <si>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</si>
  <si>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</si>
  <si>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</si>
  <si>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</si>
  <si>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</si>
  <si>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</si>
  <si>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</si>
  <si>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</si>
  <si>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</si>
  <si>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</si>
  <si>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</si>
  <si>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</si>
  <si>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</si>
  <si>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</si>
  <si>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</si>
  <si>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</si>
  <si>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</si>
  <si>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</si>
  <si>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</si>
  <si>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</si>
  <si>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</si>
  <si>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</si>
  <si>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</si>
  <si>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</si>
  <si>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</si>
  <si>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</si>
  <si>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</si>
  <si>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</si>
  <si>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</si>
  <si>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</si>
  <si>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</si>
  <si>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</si>
  <si>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</si>
  <si>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</si>
  <si>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</si>
  <si>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</si>
  <si>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</si>
  <si>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</si>
  <si>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</si>
  <si>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</si>
  <si>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</si>
  <si>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</si>
  <si>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</si>
  <si>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</si>
  <si>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</si>
  <si>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</si>
  <si>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</si>
  <si>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</si>
  <si>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</si>
  <si>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</si>
  <si>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</si>
  <si>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</si>
  <si>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</si>
  <si>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</si>
  <si>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</si>
  <si>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</si>
  <si>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</si>
  <si>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</si>
  <si>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</si>
  <si>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</si>
  <si>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</si>
  <si>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</si>
  <si>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</si>
  <si>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</si>
  <si>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</si>
  <si>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</si>
  <si>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</si>
  <si>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</si>
  <si>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</si>
  <si>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</si>
  <si>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</si>
  <si>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</si>
  <si>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</si>
  <si>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</si>
  <si>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</si>
  <si>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</si>
  <si>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</si>
  <si>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</si>
  <si>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</si>
  <si>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</si>
  <si>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</si>
  <si>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</si>
  <si>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</si>
  <si>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</si>
  <si>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</si>
  <si>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</si>
  <si>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</si>
  <si>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</si>
  <si>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</si>
  <si>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</si>
  <si>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</si>
  <si>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</si>
  <si>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</si>
  <si>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</si>
  <si>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</si>
  <si>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</si>
  <si>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</si>
  <si>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</si>
  <si>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</si>
  <si>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</si>
  <si>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</si>
  <si>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</si>
  <si>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</si>
  <si>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</si>
  <si>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</si>
  <si>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</si>
  <si>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</si>
  <si>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</si>
  <si>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</si>
  <si>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</si>
  <si>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</si>
  <si>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</si>
  <si>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</si>
  <si>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</si>
  <si>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</si>
  <si>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</si>
  <si>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</si>
  <si>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</si>
  <si>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</si>
  <si>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</si>
  <si>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</si>
  <si>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</si>
  <si>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</si>
  <si>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</si>
  <si>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</si>
  <si>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</si>
  <si>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</si>
  <si>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</si>
  <si>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</si>
  <si>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</si>
  <si>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</si>
  <si>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</si>
  <si>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</si>
  <si>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</si>
  <si>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</si>
  <si>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</si>
  <si>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</si>
  <si>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</si>
  <si>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</si>
  <si>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</si>
  <si>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</si>
  <si>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</si>
  <si>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</si>
  <si>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</si>
  <si>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</si>
  <si>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</si>
  <si>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</si>
  <si>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</si>
  <si>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</si>
  <si>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</si>
  <si>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</si>
  <si>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</si>
  <si>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</si>
  <si>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</si>
  <si>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</si>
  <si>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</si>
  <si>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</si>
  <si>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</si>
  <si>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</si>
  <si>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</si>
  <si>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</si>
  <si>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</si>
  <si>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</si>
  <si>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</si>
  <si>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</si>
  <si>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</si>
  <si>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</si>
  <si>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</si>
  <si>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</si>
  <si>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</si>
  <si>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</si>
  <si>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</si>
  <si>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</si>
  <si>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</si>
  <si>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</si>
  <si>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</si>
  <si>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</si>
  <si>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</si>
  <si>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</si>
  <si>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</si>
  <si>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</si>
  <si>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</si>
  <si>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</si>
  <si>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</si>
  <si>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</si>
  <si>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</si>
  <si>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</si>
  <si>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</si>
  <si>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</si>
  <si>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</si>
  <si>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</si>
  <si>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</si>
  <si>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</si>
  <si>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</si>
  <si>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</si>
  <si>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</si>
  <si>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</si>
  <si>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</si>
  <si>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</si>
  <si>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</si>
  <si>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</si>
  <si>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</si>
  <si>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</si>
  <si>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</si>
  <si>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</si>
  <si>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</si>
  <si>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</si>
  <si>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</si>
  <si>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</si>
  <si>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</si>
  <si>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</si>
  <si>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</si>
  <si>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</si>
  <si>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</si>
  <si>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</si>
  <si>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</si>
  <si>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</si>
  <si>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</si>
  <si>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</si>
  <si>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</si>
  <si>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</si>
  <si>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</si>
  <si>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</si>
  <si>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</si>
  <si>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</si>
  <si>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</si>
  <si>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</si>
  <si>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</si>
  <si>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</si>
  <si>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</si>
  <si>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</si>
  <si>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</si>
  <si>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</si>
  <si>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</si>
  <si>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</si>
  <si>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</si>
  <si>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</si>
  <si>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</si>
  <si>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</si>
  <si>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</si>
  <si>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</si>
  <si>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</si>
  <si>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</si>
  <si>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</si>
  <si>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</si>
  <si>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</si>
  <si>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</si>
  <si>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</si>
  <si>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</si>
  <si>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</si>
  <si>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</si>
  <si>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</si>
  <si>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</si>
  <si>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</si>
  <si>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</si>
  <si>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</si>
  <si>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</si>
  <si>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</si>
  <si>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</si>
  <si>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</si>
  <si>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</si>
  <si>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</si>
  <si>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</si>
  <si>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</si>
  <si>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</si>
  <si>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</si>
  <si>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</si>
  <si>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</si>
  <si>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</si>
  <si>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</si>
  <si>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</si>
  <si>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</si>
  <si>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</si>
  <si>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</si>
  <si>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</si>
  <si>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</si>
  <si>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</si>
  <si>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</si>
  <si>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</si>
  <si>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</si>
  <si>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</si>
  <si>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</si>
  <si>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</si>
  <si>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</si>
  <si>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</si>
  <si>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</si>
  <si>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</si>
  <si>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</si>
  <si>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</si>
  <si>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</si>
  <si>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</si>
  <si>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</si>
  <si>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</si>
  <si>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</si>
  <si>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</si>
  <si>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</si>
  <si>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</si>
  <si>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</si>
  <si>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</si>
  <si>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</si>
  <si>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</si>
  <si>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</si>
  <si>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</si>
  <si>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</si>
  <si>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</si>
  <si>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</si>
  <si>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</si>
  <si>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</si>
  <si>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</si>
  <si>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</si>
  <si>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</si>
  <si>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</si>
  <si>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</si>
  <si>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</si>
  <si>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</si>
  <si>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</si>
  <si>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</si>
  <si>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</si>
  <si>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</si>
  <si>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</si>
  <si>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</si>
  <si>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</si>
  <si>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</si>
  <si>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</si>
  <si>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</si>
  <si>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</si>
  <si>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</si>
  <si>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</si>
  <si>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</si>
  <si>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</si>
  <si>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</si>
  <si>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</si>
  <si>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</si>
  <si>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</si>
  <si>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</si>
  <si>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</si>
  <si>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</si>
  <si>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</si>
  <si>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</si>
  <si>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</si>
  <si>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</si>
  <si>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</si>
  <si>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</si>
  <si>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</si>
  <si>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</si>
  <si>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</si>
  <si>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</si>
  <si>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</si>
  <si>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</si>
  <si>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</si>
  <si>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</si>
  <si>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</si>
  <si>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</si>
  <si>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</si>
  <si>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</si>
  <si>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</si>
  <si>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</si>
  <si>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</si>
  <si>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</si>
  <si>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</si>
  <si>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</si>
  <si>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</si>
  <si>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</si>
  <si>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</si>
  <si>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</si>
  <si>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</si>
  <si>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</si>
  <si>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</si>
  <si>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</si>
  <si>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</si>
  <si>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</si>
  <si>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</si>
  <si>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</si>
  <si>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</si>
  <si>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</si>
  <si>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</si>
  <si>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</si>
  <si>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</si>
  <si>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</si>
  <si>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</si>
  <si>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</si>
  <si>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</si>
  <si>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</si>
  <si>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</si>
  <si>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</si>
  <si>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</si>
  <si>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</si>
  <si>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</si>
  <si>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</si>
  <si>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</si>
  <si>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</si>
  <si>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</si>
  <si>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</si>
  <si>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</si>
  <si>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</si>
  <si>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</si>
  <si>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</si>
  <si>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</si>
  <si>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</si>
  <si>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</si>
  <si>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</si>
  <si>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</si>
  <si>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</si>
  <si>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</si>
  <si>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</si>
  <si>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</si>
  <si>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</si>
  <si>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</si>
  <si>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</si>
  <si>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</si>
  <si>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</si>
  <si>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</si>
  <si>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</si>
  <si>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</si>
  <si>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</si>
  <si>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</si>
  <si>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</si>
  <si>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</si>
  <si>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</si>
  <si>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</si>
  <si>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</si>
  <si>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</si>
  <si>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</si>
  <si>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</si>
  <si>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</si>
  <si>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</si>
  <si>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</si>
  <si>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</si>
  <si>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</si>
  <si>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</si>
  <si>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</si>
  <si>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</si>
  <si>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</si>
  <si>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</si>
  <si>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</si>
  <si>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</si>
  <si>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</si>
  <si>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</si>
  <si>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</si>
  <si>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</si>
  <si>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</si>
  <si>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</si>
  <si>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</si>
  <si>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</si>
  <si>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</si>
  <si>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</si>
  <si>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</si>
  <si>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</si>
  <si>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</si>
  <si>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</si>
  <si>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</si>
  <si>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</si>
  <si>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</si>
  <si>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</si>
  <si>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</si>
  <si>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</si>
  <si>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</si>
  <si>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</si>
  <si>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</si>
  <si>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</si>
  <si>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</si>
  <si>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</si>
  <si>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</si>
  <si>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</si>
  <si>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</si>
  <si>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</si>
  <si>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</si>
  <si>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</si>
  <si>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</si>
  <si>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</si>
  <si>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</si>
  <si>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</si>
  <si>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</si>
  <si>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</si>
  <si>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</si>
  <si>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</si>
  <si>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</si>
  <si>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</si>
  <si>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</si>
  <si>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</si>
  <si>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</si>
  <si>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</si>
  <si>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</si>
  <si>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</si>
  <si>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</si>
  <si>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</si>
  <si>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</si>
  <si>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</si>
  <si>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</si>
  <si>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</si>
  <si>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</si>
  <si>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</si>
  <si>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</si>
  <si>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</si>
  <si>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</si>
  <si>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</si>
  <si>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</si>
  <si>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</si>
  <si>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</si>
  <si>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</si>
  <si>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</si>
  <si>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</si>
  <si>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</si>
  <si>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</si>
  <si>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</si>
  <si>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</si>
  <si>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</si>
  <si>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</si>
  <si>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</si>
  <si>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</si>
  <si>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</si>
  <si>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</si>
  <si>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</si>
  <si>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</si>
  <si>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</si>
  <si>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</si>
  <si>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</si>
  <si>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</si>
  <si>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</si>
  <si>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</si>
  <si>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</si>
  <si>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</si>
  <si>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</si>
  <si>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</si>
  <si>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</si>
  <si>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</si>
  <si>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</si>
  <si>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</si>
  <si>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</si>
  <si>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</si>
  <si>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</si>
  <si>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</si>
  <si>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</si>
  <si>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</si>
  <si>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</si>
  <si>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</si>
  <si>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</si>
  <si>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</si>
  <si>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</si>
  <si>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</si>
  <si>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</si>
  <si>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</si>
  <si>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</si>
  <si>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</si>
  <si>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</si>
  <si>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</si>
  <si>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</si>
  <si>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</si>
  <si>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</si>
  <si>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</si>
  <si>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</si>
  <si>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</si>
  <si>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</si>
  <si>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</si>
  <si>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</si>
  <si>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</si>
  <si>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</si>
  <si>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</si>
  <si>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</si>
  <si>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</si>
  <si>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</si>
  <si>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</si>
  <si>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</si>
  <si>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</si>
  <si>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</si>
  <si>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</si>
  <si>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</si>
  <si>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</si>
  <si>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</si>
  <si>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</si>
  <si>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</si>
  <si>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</si>
  <si>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</si>
  <si>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</si>
  <si>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</si>
  <si>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</si>
  <si>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</si>
  <si>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</si>
  <si>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</si>
  <si>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</si>
  <si>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</si>
  <si>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</si>
  <si>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</si>
  <si>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</si>
  <si>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</si>
  <si>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</si>
  <si>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</si>
  <si>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</si>
  <si>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</si>
  <si>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</si>
  <si>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</si>
  <si>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</si>
  <si>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</si>
  <si>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</si>
  <si>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</si>
  <si>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</si>
  <si>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</si>
  <si>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</si>
  <si>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</si>
  <si>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</si>
  <si>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</si>
  <si>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</si>
  <si>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</si>
  <si>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</si>
  <si>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</si>
  <si>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</si>
  <si>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</si>
  <si>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</si>
  <si>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</si>
  <si>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</si>
  <si>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</si>
  <si>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</si>
  <si>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</si>
  <si>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</si>
  <si>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</si>
  <si>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</si>
  <si>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</si>
  <si>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</si>
  <si>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</si>
  <si>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</si>
  <si>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</si>
  <si>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</si>
  <si>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</si>
  <si>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</si>
  <si>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</si>
  <si>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</si>
  <si>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</si>
  <si>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</si>
  <si>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</si>
  <si>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</si>
  <si>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</si>
  <si>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</si>
  <si>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</si>
  <si>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</si>
  <si>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</si>
  <si>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</si>
  <si>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</si>
  <si>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</si>
  <si>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</si>
  <si>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</si>
  <si>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</si>
  <si>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</si>
  <si>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</si>
  <si>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</si>
  <si>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</si>
  <si>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</si>
  <si>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</si>
  <si>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</si>
  <si>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</si>
  <si>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</si>
  <si>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</si>
  <si>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</si>
  <si>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</si>
  <si>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</si>
  <si>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</si>
  <si>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</si>
  <si>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</si>
  <si>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</si>
  <si>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</si>
  <si>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</si>
  <si>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</si>
  <si>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</si>
  <si>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</si>
  <si>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</si>
  <si>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</si>
  <si>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</si>
  <si>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</si>
  <si>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</si>
  <si>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</si>
  <si>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</si>
  <si>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</si>
  <si>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</si>
  <si>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</si>
  <si>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</si>
  <si>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</si>
  <si>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</si>
  <si>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</si>
  <si>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</si>
  <si>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</si>
  <si>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</si>
  <si>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</si>
  <si>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</si>
  <si>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</si>
  <si>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</si>
  <si>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</si>
  <si>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</si>
  <si>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</si>
  <si>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</si>
  <si>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</si>
  <si>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</si>
  <si>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</si>
  <si>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</si>
  <si>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</si>
  <si>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</si>
  <si>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</si>
  <si>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</si>
  <si>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</si>
  <si>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</si>
  <si>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</si>
  <si>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</si>
  <si>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</si>
  <si>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</si>
  <si>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</si>
  <si>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</si>
  <si>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</si>
  <si>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</si>
  <si>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</si>
  <si>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</si>
  <si>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</si>
  <si>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</si>
  <si>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</si>
  <si>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</si>
  <si>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</si>
  <si>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</si>
  <si>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</si>
  <si>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</si>
  <si>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</si>
  <si>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</si>
  <si>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</si>
  <si>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</si>
  <si>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</si>
  <si>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</si>
  <si>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</si>
  <si>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</si>
  <si>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</si>
  <si>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</si>
  <si>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</si>
  <si>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</si>
  <si>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</si>
  <si>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</si>
  <si>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</si>
  <si>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</si>
  <si>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</si>
  <si>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</si>
  <si>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</si>
  <si>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</si>
  <si>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</si>
  <si>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</si>
  <si>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</si>
  <si>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</si>
  <si>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</si>
  <si>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</si>
  <si>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</si>
  <si>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</si>
  <si>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</si>
  <si>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</si>
  <si>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</si>
  <si>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</si>
  <si>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</si>
  <si>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</si>
  <si>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</si>
  <si>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</si>
  <si>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</si>
  <si>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</si>
  <si>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</si>
  <si>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</si>
  <si>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</si>
  <si>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</si>
  <si>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</si>
  <si>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</si>
  <si>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</si>
  <si>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</si>
  <si>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</si>
  <si>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</si>
  <si>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</si>
  <si>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</si>
  <si>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</si>
  <si>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</si>
  <si>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</si>
  <si>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</si>
  <si>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</si>
  <si>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</si>
  <si>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</si>
  <si>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</si>
  <si>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</si>
  <si>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</si>
  <si>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</si>
  <si>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</si>
  <si>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</si>
  <si>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</si>
  <si>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</si>
  <si>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</si>
  <si>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</si>
  <si>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</si>
  <si>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</si>
  <si>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</si>
  <si>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</si>
  <si>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</si>
  <si>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</si>
  <si>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</si>
  <si>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</si>
  <si>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</si>
  <si>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</si>
  <si>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</si>
  <si>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</si>
  <si>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</si>
  <si>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</si>
  <si>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</si>
  <si>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</si>
  <si>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</si>
  <si>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</si>
  <si>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</si>
  <si>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</si>
  <si>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</si>
  <si>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</si>
  <si>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</si>
  <si>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</si>
  <si>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</si>
  <si>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</si>
  <si>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</si>
  <si>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</si>
  <si>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</si>
  <si>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</si>
  <si>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</si>
  <si>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</si>
  <si>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</si>
  <si>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</si>
  <si>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</si>
  <si>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</si>
  <si>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</si>
  <si>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</si>
  <si>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</si>
  <si>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</si>
  <si>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</si>
  <si>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</si>
  <si>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</si>
  <si>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</si>
  <si>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</si>
  <si>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</si>
  <si>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</si>
  <si>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</si>
  <si>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</si>
  <si>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</si>
  <si>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</si>
  <si>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</si>
  <si>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</si>
  <si>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</si>
  <si>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</si>
  <si>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</si>
  <si>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</si>
  <si>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</si>
  <si>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</si>
  <si>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</si>
  <si>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</si>
  <si>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</si>
  <si>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</si>
  <si>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</si>
  <si>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</si>
  <si>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</si>
  <si>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</si>
  <si>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</si>
  <si>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</si>
  <si>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</si>
  <si>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</si>
  <si>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</si>
  <si>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</si>
  <si>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</si>
  <si>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</si>
  <si>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</si>
  <si>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</si>
  <si>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</si>
  <si>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</si>
  <si>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</si>
  <si>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</si>
  <si>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</si>
  <si>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</si>
  <si>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</si>
  <si>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</si>
  <si>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</si>
  <si>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</si>
  <si>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</si>
  <si>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</si>
  <si>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</si>
  <si>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</si>
  <si>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</si>
  <si>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</si>
  <si>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</si>
  <si>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</si>
  <si>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</si>
  <si>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</si>
  <si>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</si>
  <si>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</si>
  <si>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</si>
  <si>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</si>
  <si>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</si>
  <si>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</si>
  <si>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</si>
  <si>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</si>
  <si>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</si>
  <si>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</si>
  <si>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</si>
  <si>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</si>
  <si>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</si>
  <si>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</si>
  <si>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</si>
  <si>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</si>
  <si>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</si>
  <si>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</si>
  <si>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</si>
  <si>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</si>
  <si>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</si>
  <si>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</si>
  <si>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</si>
  <si>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</si>
  <si>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</si>
  <si>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</si>
  <si>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</si>
  <si>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</si>
  <si>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</si>
  <si>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</si>
  <si>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</si>
  <si>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</si>
  <si>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</si>
  <si>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</si>
  <si>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</si>
  <si>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</si>
  <si>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</si>
  <si>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</si>
  <si>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</si>
  <si>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</si>
  <si>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</si>
  <si>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</si>
  <si>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</si>
  <si>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</si>
  <si>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</si>
  <si>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</si>
  <si>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</si>
  <si>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</si>
  <si>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</si>
  <si>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</si>
  <si>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</si>
  <si>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</si>
  <si>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</si>
  <si>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</si>
  <si>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</si>
  <si>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</si>
  <si>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</si>
  <si>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</si>
  <si>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</si>
  <si>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</si>
  <si>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</si>
  <si>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</si>
  <si>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</si>
  <si>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</si>
  <si>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</si>
  <si>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</si>
  <si>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</si>
  <si>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</si>
  <si>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</si>
  <si>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</si>
  <si>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</si>
  <si>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</si>
  <si>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</si>
  <si>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</si>
  <si>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</si>
  <si>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</si>
  <si>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</si>
  <si>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</si>
  <si>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</si>
  <si>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</si>
  <si>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</si>
  <si>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</si>
  <si>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</si>
  <si>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</si>
  <si>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</si>
  <si>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</si>
  <si>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</si>
  <si>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</si>
  <si>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</si>
  <si>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</si>
  <si>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</si>
  <si>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</si>
  <si>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</si>
  <si>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</si>
  <si>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</si>
  <si>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</si>
  <si>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</si>
  <si>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</si>
  <si>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</si>
  <si>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</si>
  <si>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</si>
  <si>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</si>
  <si>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</si>
  <si>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</si>
  <si>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</si>
  <si>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</si>
  <si>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</si>
  <si>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</si>
  <si>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</si>
  <si>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</si>
  <si>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</si>
  <si>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</si>
  <si>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</si>
  <si>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</si>
  <si>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</si>
  <si>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</si>
  <si>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</si>
  <si>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</si>
  <si>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</si>
  <si>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</si>
  <si>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</si>
  <si>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</si>
  <si>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</si>
  <si>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</si>
  <si>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</si>
  <si>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</si>
  <si>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</si>
  <si>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</si>
  <si>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</si>
  <si>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</si>
  <si>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</si>
  <si>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</si>
  <si>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</si>
  <si>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</si>
  <si>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</si>
  <si>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</si>
  <si>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</si>
  <si>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</si>
  <si>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</si>
  <si>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</si>
  <si>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</si>
  <si>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</si>
  <si>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</si>
  <si>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</si>
  <si>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</si>
  <si>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</si>
  <si>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</si>
  <si>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</si>
  <si>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</si>
  <si>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</si>
  <si>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</si>
  <si>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</si>
  <si>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</si>
  <si>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</si>
  <si>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</si>
  <si>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</si>
  <si>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</si>
  <si>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</si>
  <si>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</si>
  <si>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</si>
  <si>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</si>
  <si>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</si>
  <si>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</si>
  <si>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</si>
  <si>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</si>
  <si>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</si>
  <si>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</si>
  <si>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</si>
  <si>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</si>
  <si>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</si>
  <si>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</si>
  <si>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</si>
  <si>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</si>
  <si>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</si>
  <si>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</si>
  <si>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</si>
  <si>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</si>
  <si>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</si>
  <si>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</si>
  <si>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</si>
  <si>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</si>
  <si>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</si>
  <si>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</si>
  <si>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</si>
  <si>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</si>
  <si>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</si>
  <si>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</si>
  <si>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</si>
  <si>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</si>
  <si>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</si>
  <si>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</si>
  <si>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</si>
  <si>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</si>
  <si>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</si>
  <si>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</si>
  <si>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</si>
  <si>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</si>
  <si>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</si>
  <si>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</si>
  <si>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</si>
  <si>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</si>
  <si>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</si>
  <si>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</si>
  <si>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</si>
  <si>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</si>
  <si>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</si>
  <si>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</si>
  <si>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</si>
  <si>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</si>
  <si>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</si>
  <si>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</si>
  <si>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</si>
  <si>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</si>
  <si>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</si>
  <si>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</si>
  <si>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</si>
  <si>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</si>
  <si>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</si>
  <si>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</si>
  <si>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</si>
  <si>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</si>
  <si>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</si>
  <si>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</si>
  <si>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</si>
  <si>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</si>
  <si>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</si>
  <si>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</si>
  <si>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</si>
  <si>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</si>
  <si>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</si>
  <si>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</si>
  <si>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</si>
  <si>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</si>
  <si>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</si>
  <si>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</si>
  <si>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</si>
  <si>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</si>
  <si>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</si>
  <si>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</si>
  <si>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</si>
  <si>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</si>
  <si>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</si>
  <si>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</si>
  <si>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</si>
  <si>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</si>
  <si>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</si>
  <si>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</si>
  <si>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</si>
  <si>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</si>
  <si>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</si>
  <si>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</si>
  <si>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</si>
  <si>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</si>
  <si>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</si>
  <si>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</si>
  <si>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</si>
  <si>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</si>
  <si>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</si>
  <si>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</si>
  <si>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</si>
  <si>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BENIDORM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</si>
</sst>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qWdotcW1BmyhmZB5jFPp9d/TJUtE+k9nfO2Pu6Va2xkoqW8f39G02xF5NdtNBDlZH3JRvQ998Ij7EEvWThXUQ==" saltValue="+dC2W73OdEelEqi8GQg3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25.171856978085351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54</v>
      </c>
      <c r="D10" s="239">
        <f>IF(ISNUMBER(Datos!I10),Datos!I10," - ")</f>
        <v>54</v>
      </c>
      <c r="E10" s="240">
        <f>IF(ISNUMBER(Datos!J10),Datos!J10," - ")</f>
        <v>21</v>
      </c>
      <c r="F10" s="240">
        <f>IF(ISNUMBER(Datos!K10),Datos!K10," - ")</f>
        <v>23</v>
      </c>
      <c r="G10" s="1390" t="str">
        <f>IF(Datos!E10&lt;&gt;"",Datos!E10,Datos!D10)</f>
        <v>37</v>
      </c>
      <c r="H10" s="241">
        <f>IF(ISNUMBER(Datos!L10),Datos!L10," - ")</f>
        <v>52</v>
      </c>
      <c r="I10" s="1400" t="str">
        <f>IF(ISNUMBER(Datos!AS10/Datos!BM10),Datos!AS10/Datos!BM10," - ")</f>
        <v xml:space="preserve"> - </v>
      </c>
      <c r="J10" s="1401">
        <f>IF(ISNUMBER(Datos!BY10/Datos!CN10),Datos!BY10/Datos!CN10," - ")</f>
        <v>0</v>
      </c>
      <c r="K10" s="244">
        <f t="shared" ref="K10:K13" si="1">IF(ISNUMBER((E10-F10)/C10),(E10-F10)/C10," - ")</f>
        <v>-3.7037037037037035E-2</v>
      </c>
      <c r="L10" s="1402">
        <f>IF(ISNUMBER(NºAsuntos!I10/NºAsuntos!G10),(NºAsuntos!I10/NºAsuntos!G10)*11," - ")</f>
        <v>24.869565217391301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54</v>
      </c>
      <c r="D14" s="1407">
        <f>SUBTOTAL(9,D9:D13)</f>
        <v>54</v>
      </c>
      <c r="E14" s="1408">
        <f>SUBTOTAL(9,E9:E13)</f>
        <v>21</v>
      </c>
      <c r="F14" s="1409">
        <f>SUBTOTAL(9,F9:F13)</f>
        <v>23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2082</v>
      </c>
      <c r="D16" s="239">
        <f>IF(ISNUMBER(IF(D_I="SI",Datos!I16,Datos!I16+Datos!AC16)),IF(D_I="SI",Datos!I16,Datos!I16+Datos!AC16)," - ")</f>
        <v>2053</v>
      </c>
      <c r="E16" s="240">
        <f>IF(ISNUMBER(IF(D_I="SI",Datos!J16,Datos!J16+Datos!AD16)),IF(D_I="SI",Datos!J16,Datos!J16+Datos!AD16)," - ")</f>
        <v>1655</v>
      </c>
      <c r="F16" s="240">
        <f>IF(ISNUMBER(IF(D_I="SI",Datos!K16,Datos!K16+Datos!AE16)),IF(D_I="SI",Datos!K16,Datos!K16+Datos!AE16)," - ")</f>
        <v>1776</v>
      </c>
      <c r="G16" s="1390" t="str">
        <f>IF(Datos!E16&lt;&gt;"",Datos!E16,Datos!D16)</f>
        <v>03</v>
      </c>
      <c r="H16" s="241">
        <f>IF(ISNUMBER(IF(D_I="SI",Datos!L16,Datos!L16+Datos!AF16)),IF(D_I="SI",Datos!L16,Datos!L16+Datos!AF16)," - ")</f>
        <v>1961</v>
      </c>
      <c r="I16" s="1400" t="str">
        <f>IF(ISNUMBER(Datos!AS16/Datos!BM16),Datos!AS16/Datos!BM16," - ")</f>
        <v xml:space="preserve"> - </v>
      </c>
      <c r="J16" s="1401">
        <f>IF(ISNUMBER(Datos!BY16/Datos!CN16),Datos!BY16/Datos!CN16," - ")</f>
        <v>0</v>
      </c>
      <c r="K16" s="244">
        <f t="shared" ref="K16:K22" si="3">IF(ISNUMBER((E16-F16)/C16),(E16-F16)/C16," - ")</f>
        <v>-5.8117195004803071E-2</v>
      </c>
      <c r="L16" s="1402">
        <f>IF(ISNUMBER(NºAsuntos!I16/NºAsuntos!G16),(NºAsuntos!I16/NºAsuntos!G16)*11," - ")</f>
        <v>12.145833333333334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2</v>
      </c>
      <c r="D17" s="239">
        <f>IF(ISNUMBER(IF(D_I="SI",Datos!I17,Datos!I17+Datos!AC17)),IF(D_I="SI",Datos!I17,Datos!I17+Datos!AC17)," - ")</f>
        <v>2</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2</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103</v>
      </c>
      <c r="D18" s="239">
        <f>IF(ISNUMBER(IF(D_I="SI",Datos!I18,Datos!I18+Datos!AC18)),IF(D_I="SI",Datos!I18,Datos!I18+Datos!AC18)," - ")</f>
        <v>102</v>
      </c>
      <c r="E18" s="240">
        <f>IF(ISNUMBER(IF(D_I="SI",Datos!J18,Datos!J18+Datos!AD18)),IF(D_I="SI",Datos!J18,Datos!J18+Datos!AD18)," - ")</f>
        <v>237</v>
      </c>
      <c r="F18" s="240">
        <f>IF(ISNUMBER(IF(D_I="SI",Datos!K18,Datos!K18+Datos!AE18)),IF(D_I="SI",Datos!K18,Datos!K18+Datos!AE18)," - ")</f>
        <v>237</v>
      </c>
      <c r="G18" s="1390" t="str">
        <f>IF(Datos!E18&lt;&gt;"",Datos!E18,Datos!D18)</f>
        <v>37</v>
      </c>
      <c r="H18" s="241">
        <f>IF(ISNUMBER(IF(D_I="SI",Datos!L18,Datos!L18+Datos!AF18)),IF(D_I="SI",Datos!L18,Datos!L18+Datos!AF18)," - ")</f>
        <v>103</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4.7805907172995781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2187</v>
      </c>
      <c r="D23" s="1407">
        <f>SUBTOTAL(9,D16:D22)</f>
        <v>2157</v>
      </c>
      <c r="E23" s="1408">
        <f>SUBTOTAL(9,E16:E22)</f>
        <v>1892</v>
      </c>
      <c r="F23" s="1408">
        <f>SUBTOTAL(9,F16:F22)</f>
        <v>2013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2241</v>
      </c>
      <c r="D31" s="1435">
        <f>SUBTOTAL(9,D9:D30)</f>
        <v>2211</v>
      </c>
      <c r="E31" s="1436">
        <f>SUBTOTAL(9,E9:E30)</f>
        <v>1913</v>
      </c>
      <c r="F31" s="1436">
        <f>SUBTOTAL(9,F9:F30)</f>
        <v>2036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gwQCXOpZ5hhlES7NjMlRUuEWYufViM0FR7qDzYg63tZfX/Uj560TgbG7Y7ukq96Nemv7T/tS4+02Cto8SP7vww==" saltValue="efLIlSgagc+rzBnvT/c1z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u1Zcjq2T1HZpqW6yi1hx4to8B4JR4N/WXgOnnevAjsGJr0gjoL2vkgZIPsd1qrlPJy20Mw89/ONXcgM/g3Pdw==" saltValue="cNbFJD9c+1nN8Ewawqzh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3582</v>
      </c>
      <c r="J9" s="194">
        <v>1821</v>
      </c>
      <c r="K9" s="194">
        <v>1589</v>
      </c>
      <c r="L9" s="194">
        <v>3814</v>
      </c>
      <c r="M9" s="194">
        <v>385</v>
      </c>
      <c r="N9" s="194">
        <v>725</v>
      </c>
      <c r="O9" s="194">
        <v>990</v>
      </c>
      <c r="P9" s="194">
        <v>515</v>
      </c>
      <c r="Q9" s="194">
        <v>539</v>
      </c>
      <c r="R9" s="194">
        <v>6077</v>
      </c>
      <c r="S9" s="194">
        <v>3798</v>
      </c>
      <c r="T9" s="194">
        <v>1535</v>
      </c>
      <c r="U9" s="194">
        <v>1863</v>
      </c>
      <c r="V9" s="194">
        <v>3475</v>
      </c>
      <c r="W9" s="194">
        <v>466</v>
      </c>
      <c r="X9" s="201">
        <v>784</v>
      </c>
      <c r="Y9" s="204">
        <v>157</v>
      </c>
      <c r="Z9" s="194">
        <v>142</v>
      </c>
      <c r="AA9" s="194">
        <v>145</v>
      </c>
      <c r="AB9" s="194">
        <v>154</v>
      </c>
      <c r="AC9" s="194">
        <v>0</v>
      </c>
      <c r="AD9" s="194">
        <v>0</v>
      </c>
      <c r="AE9" s="194">
        <v>0</v>
      </c>
      <c r="AF9" s="201">
        <v>0</v>
      </c>
      <c r="AG9" s="204">
        <v>140</v>
      </c>
      <c r="AH9" s="194">
        <v>158</v>
      </c>
      <c r="AI9" s="194">
        <v>168</v>
      </c>
      <c r="AJ9" s="205">
        <v>130</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3938</v>
      </c>
      <c r="AZ9" s="133">
        <f>IF(ISNUMBER(IF(J_V="SI",T9,T9+AH9)),IF(J_V="SI",T9,T9+AH9)," - ")</f>
        <v>1693</v>
      </c>
      <c r="BA9" s="134">
        <f>IF(ISNUMBER(IF(J_V="SI",U9,U9+AI9)),IF(J_V="SI",U9,U9+AI9)," - ")</f>
        <v>2031</v>
      </c>
      <c r="BB9" s="134">
        <f>IF(ISNUMBER(IF(J_V="SI",V9,V9+AJ9)),IF(J_V="SI",V9,V9+AJ9)," - ")</f>
        <v>3605</v>
      </c>
      <c r="BC9" s="135">
        <f>IF(ISNUMBER(X9),X9," - ")</f>
        <v>784</v>
      </c>
      <c r="BD9" s="136">
        <f>IF(ISNUMBER(BA9/AZ9),BA9/AZ9," - ")</f>
        <v>1.199645599527466</v>
      </c>
      <c r="BE9" s="137">
        <f>IF(ISNUMBER(BB9/BA9),BB9/BA9, " - ")</f>
        <v>1.7749876907927129</v>
      </c>
      <c r="BF9" s="137">
        <f>IF(ISNUMBER(BC9/BA9),BC9/BA9, " - ")</f>
        <v>0.38601674052191037</v>
      </c>
      <c r="BG9" s="209">
        <f>IF(ISNUMBER((AY9+AZ9)/BA9),(AY9+AZ9)/BA9," - ")</f>
        <v>2.7725258493353029</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54</v>
      </c>
      <c r="J10" s="194">
        <v>21</v>
      </c>
      <c r="K10" s="194">
        <v>23</v>
      </c>
      <c r="L10" s="194">
        <v>52</v>
      </c>
      <c r="M10" s="194">
        <v>9</v>
      </c>
      <c r="N10" s="194">
        <v>8</v>
      </c>
      <c r="O10" s="194">
        <v>4</v>
      </c>
      <c r="P10" s="194">
        <v>4</v>
      </c>
      <c r="Q10" s="194">
        <v>3</v>
      </c>
      <c r="R10" s="194">
        <v>38</v>
      </c>
      <c r="S10" s="194">
        <v>49</v>
      </c>
      <c r="T10" s="194">
        <v>20</v>
      </c>
      <c r="U10" s="194">
        <v>25</v>
      </c>
      <c r="V10" s="194">
        <v>44</v>
      </c>
      <c r="W10" s="194">
        <v>9</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49</v>
      </c>
      <c r="AZ10" s="139">
        <f t="shared" si="0"/>
        <v>20</v>
      </c>
      <c r="BA10" s="139">
        <f t="shared" si="0"/>
        <v>25</v>
      </c>
      <c r="BB10" s="139">
        <f t="shared" si="0"/>
        <v>44</v>
      </c>
      <c r="BC10" s="135">
        <f t="shared" si="0"/>
        <v>9</v>
      </c>
      <c r="BD10" s="136">
        <f>IF(ISNUMBER(BA10/AZ10),BA10/AZ10," - ")</f>
        <v>1.25</v>
      </c>
      <c r="BE10" s="137">
        <f>IF(ISNUMBER(BB10/BA10),BB10/BA10, " - ")</f>
        <v>1.76</v>
      </c>
      <c r="BF10" s="137">
        <f>IF(ISNUMBER(BC10/BA10),BC10/BA10, " - ")</f>
        <v>0.36</v>
      </c>
      <c r="BG10" s="209">
        <f>IF(ISNUMBER((AY10+AZ10)/BA10),(AY10+AZ10)/BA10," - ")</f>
        <v>2.76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v>
      </c>
      <c r="J12" s="196">
        <v>0</v>
      </c>
      <c r="K12" s="196">
        <v>0</v>
      </c>
      <c r="L12" s="196">
        <v>2</v>
      </c>
      <c r="M12" s="196">
        <v>0</v>
      </c>
      <c r="N12" s="196">
        <v>0</v>
      </c>
      <c r="O12" s="194">
        <v>0</v>
      </c>
      <c r="P12" s="196">
        <v>0</v>
      </c>
      <c r="Q12" s="196">
        <v>0</v>
      </c>
      <c r="R12" s="196">
        <v>30</v>
      </c>
      <c r="S12" s="196">
        <v>5</v>
      </c>
      <c r="T12" s="196">
        <v>0</v>
      </c>
      <c r="U12" s="196">
        <v>2</v>
      </c>
      <c r="V12" s="196">
        <v>3</v>
      </c>
      <c r="W12" s="196">
        <v>2</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5</v>
      </c>
      <c r="AZ12" s="137">
        <f t="shared" si="1"/>
        <v>0</v>
      </c>
      <c r="BA12" s="137">
        <f t="shared" si="1"/>
        <v>2</v>
      </c>
      <c r="BB12" s="137">
        <f t="shared" si="1"/>
        <v>3</v>
      </c>
      <c r="BC12" s="135">
        <f>IF(ISNUMBER(X12),X12," - ")</f>
        <v>0</v>
      </c>
      <c r="BD12" s="136" t="str">
        <f t="shared" si="2"/>
        <v xml:space="preserve"> - </v>
      </c>
      <c r="BE12" s="137">
        <f t="shared" si="3"/>
        <v>1.5</v>
      </c>
      <c r="BF12" s="137">
        <f t="shared" si="4"/>
        <v>0</v>
      </c>
      <c r="BG12" s="209">
        <f t="shared" si="5"/>
        <v>2.5</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3638</v>
      </c>
      <c r="J14" s="197">
        <f t="shared" si="7"/>
        <v>1842</v>
      </c>
      <c r="K14" s="197">
        <f t="shared" si="7"/>
        <v>1612</v>
      </c>
      <c r="L14" s="197">
        <f t="shared" si="7"/>
        <v>3868</v>
      </c>
      <c r="M14" s="197">
        <f t="shared" si="7"/>
        <v>394</v>
      </c>
      <c r="N14" s="197">
        <f t="shared" si="7"/>
        <v>733</v>
      </c>
      <c r="O14" s="197">
        <f t="shared" si="7"/>
        <v>994</v>
      </c>
      <c r="P14" s="197">
        <f t="shared" si="7"/>
        <v>519</v>
      </c>
      <c r="Q14" s="197">
        <f t="shared" si="7"/>
        <v>542</v>
      </c>
      <c r="R14" s="197">
        <f t="shared" si="7"/>
        <v>6145</v>
      </c>
      <c r="S14" s="197">
        <f t="shared" si="7"/>
        <v>3852</v>
      </c>
      <c r="T14" s="197">
        <f t="shared" si="7"/>
        <v>1555</v>
      </c>
      <c r="U14" s="197">
        <f t="shared" si="7"/>
        <v>1890</v>
      </c>
      <c r="V14" s="197">
        <f t="shared" si="7"/>
        <v>3522</v>
      </c>
      <c r="W14" s="197">
        <f t="shared" si="7"/>
        <v>477</v>
      </c>
      <c r="X14" s="197">
        <f t="shared" si="7"/>
        <v>787</v>
      </c>
      <c r="Y14" s="197">
        <f t="shared" si="7"/>
        <v>157</v>
      </c>
      <c r="Z14" s="197">
        <f t="shared" si="7"/>
        <v>142</v>
      </c>
      <c r="AA14" s="197">
        <f t="shared" si="7"/>
        <v>145</v>
      </c>
      <c r="AB14" s="197">
        <f t="shared" si="7"/>
        <v>154</v>
      </c>
      <c r="AC14" s="197">
        <f t="shared" si="7"/>
        <v>0</v>
      </c>
      <c r="AD14" s="197">
        <f t="shared" si="7"/>
        <v>0</v>
      </c>
      <c r="AE14" s="197">
        <f t="shared" si="7"/>
        <v>0</v>
      </c>
      <c r="AF14" s="197">
        <f>SUBTOTAL(9,AF9:AF13)</f>
        <v>0</v>
      </c>
      <c r="AG14" s="197">
        <f t="shared" ref="AG14:AT14" si="8">SUBTOTAL(9,AG8:AG13)</f>
        <v>140</v>
      </c>
      <c r="AH14" s="197">
        <f t="shared" si="8"/>
        <v>158</v>
      </c>
      <c r="AI14" s="197">
        <f t="shared" si="8"/>
        <v>168</v>
      </c>
      <c r="AJ14" s="197">
        <f t="shared" si="8"/>
        <v>130</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3992</v>
      </c>
      <c r="AZ14" s="197">
        <f>SUBTOTAL(9,AZ8:AZ13)</f>
        <v>1713</v>
      </c>
      <c r="BA14" s="197">
        <f>SUBTOTAL(9,BA8:BA13)</f>
        <v>2058</v>
      </c>
      <c r="BB14" s="197">
        <f>SUBTOTAL(9,BB8:BB13)</f>
        <v>3652</v>
      </c>
      <c r="BC14" s="197">
        <f>SUBTOTAL(9,BC8:BC13)</f>
        <v>793</v>
      </c>
      <c r="BD14" s="219">
        <f>IF(ISNUMBER(BA14/AZ14),BA14/AZ14," - ")</f>
        <v>1.201401050788091</v>
      </c>
      <c r="BE14" s="220">
        <f>IF(ISNUMBER(BB14/BA14),BB14/BA14, " - ")</f>
        <v>1.7745383867832847</v>
      </c>
      <c r="BF14" s="220">
        <f>IF(ISNUMBER(BC14/BA14),BC14/BA14, " - ")</f>
        <v>0.38532555879494657</v>
      </c>
      <c r="BG14" s="221">
        <f>IF(ISNUMBER((AY14+AZ14)/BA14),(AY14+AZ14)/BA14," - ")</f>
        <v>2.7721088435374148</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2053</v>
      </c>
      <c r="J16" s="196">
        <v>1655</v>
      </c>
      <c r="K16" s="196">
        <v>1776</v>
      </c>
      <c r="L16" s="196">
        <v>1961</v>
      </c>
      <c r="M16" s="196">
        <v>319</v>
      </c>
      <c r="N16" s="196">
        <v>973</v>
      </c>
      <c r="O16" s="194">
        <v>65</v>
      </c>
      <c r="P16" s="196">
        <v>101</v>
      </c>
      <c r="Q16" s="196">
        <v>90</v>
      </c>
      <c r="R16" s="196">
        <v>336</v>
      </c>
      <c r="S16" s="196">
        <v>2142</v>
      </c>
      <c r="T16" s="196">
        <v>1660</v>
      </c>
      <c r="U16" s="196">
        <v>1769</v>
      </c>
      <c r="V16" s="196">
        <v>2019</v>
      </c>
      <c r="W16" s="196">
        <v>372</v>
      </c>
      <c r="X16" s="202">
        <v>805</v>
      </c>
      <c r="Y16" s="215">
        <v>0</v>
      </c>
      <c r="Z16" s="196">
        <v>0</v>
      </c>
      <c r="AA16" s="196">
        <v>0</v>
      </c>
      <c r="AB16" s="196">
        <v>0</v>
      </c>
      <c r="AC16" s="196">
        <v>0</v>
      </c>
      <c r="AD16" s="196">
        <v>0</v>
      </c>
      <c r="AE16" s="196">
        <v>0</v>
      </c>
      <c r="AF16" s="202">
        <v>0</v>
      </c>
      <c r="AG16" s="215">
        <v>0</v>
      </c>
      <c r="AH16" s="196">
        <v>0</v>
      </c>
      <c r="AI16" s="196">
        <v>0</v>
      </c>
      <c r="AJ16" s="216">
        <v>0</v>
      </c>
      <c r="AK16" s="195">
        <v>1</v>
      </c>
      <c r="AL16" s="196">
        <v>1</v>
      </c>
      <c r="AM16" s="196">
        <v>1</v>
      </c>
      <c r="AN16" s="202">
        <v>1</v>
      </c>
      <c r="AO16" s="283">
        <v>4</v>
      </c>
      <c r="AP16" s="168">
        <v>4</v>
      </c>
      <c r="AQ16" s="168">
        <v>4</v>
      </c>
      <c r="AR16" s="168">
        <v>4</v>
      </c>
      <c r="AS16" s="381" t="s">
        <v>694</v>
      </c>
      <c r="AT16" s="216" t="s">
        <v>424</v>
      </c>
      <c r="AU16" s="215"/>
      <c r="AV16" s="216"/>
      <c r="AW16" s="215"/>
      <c r="AX16" s="216"/>
      <c r="AY16" s="138">
        <f t="shared" ref="AY16:BB17" si="10">IF(ISNUMBER(IF(D_I="SI",S16,S16+AK16)),IF(D_I="SI",S16,S16+AK16)," - ")</f>
        <v>2142</v>
      </c>
      <c r="AZ16" s="139">
        <f t="shared" si="10"/>
        <v>1660</v>
      </c>
      <c r="BA16" s="139">
        <f t="shared" si="10"/>
        <v>1769</v>
      </c>
      <c r="BB16" s="139">
        <f t="shared" si="10"/>
        <v>2019</v>
      </c>
      <c r="BC16" s="135">
        <f>IF(ISNUMBER(W16),W16," - ")</f>
        <v>372</v>
      </c>
      <c r="BD16" s="136">
        <f>IF(ISNUMBER(BA16/AZ16),BA16/AZ16," - ")</f>
        <v>1.0656626506024096</v>
      </c>
      <c r="BE16" s="137">
        <f>IF(ISNUMBER(BB16/BA16),BB16/BA16, " - ")</f>
        <v>1.1413227812323345</v>
      </c>
      <c r="BF16" s="137">
        <f>IF(ISNUMBER(BC16/BA16),BC16/BA16, " - ")</f>
        <v>0.21028829847371397</v>
      </c>
      <c r="BG16" s="209">
        <f t="shared" ref="BG16:BG22" si="11">IF(ISNUMBER((AY16+AZ16)/BA16),(AY16+AZ16)/BA16," - ")</f>
        <v>2.1492368569813456</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v>
      </c>
      <c r="J17" s="196">
        <v>0</v>
      </c>
      <c r="K17" s="196">
        <v>0</v>
      </c>
      <c r="L17" s="196">
        <v>2</v>
      </c>
      <c r="M17" s="196">
        <v>0</v>
      </c>
      <c r="N17" s="196">
        <v>0</v>
      </c>
      <c r="O17" s="194">
        <v>0</v>
      </c>
      <c r="P17" s="196">
        <v>0</v>
      </c>
      <c r="Q17" s="196">
        <v>0</v>
      </c>
      <c r="R17" s="196">
        <v>0</v>
      </c>
      <c r="S17" s="196">
        <v>2</v>
      </c>
      <c r="T17" s="196">
        <v>0</v>
      </c>
      <c r="U17" s="196">
        <v>0</v>
      </c>
      <c r="V17" s="196">
        <v>2</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2</v>
      </c>
      <c r="AZ17" s="137">
        <f t="shared" si="10"/>
        <v>0</v>
      </c>
      <c r="BA17" s="137">
        <f t="shared" si="10"/>
        <v>0</v>
      </c>
      <c r="BB17" s="137">
        <f t="shared" si="10"/>
        <v>2</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102</v>
      </c>
      <c r="J18" s="196">
        <v>237</v>
      </c>
      <c r="K18" s="196">
        <v>237</v>
      </c>
      <c r="L18" s="196">
        <v>103</v>
      </c>
      <c r="M18" s="196">
        <v>47</v>
      </c>
      <c r="N18" s="196">
        <v>109</v>
      </c>
      <c r="O18" s="196">
        <v>3</v>
      </c>
      <c r="P18" s="196">
        <v>2</v>
      </c>
      <c r="Q18" s="196">
        <v>3</v>
      </c>
      <c r="R18" s="196">
        <v>3</v>
      </c>
      <c r="S18" s="196">
        <v>113</v>
      </c>
      <c r="T18" s="196">
        <v>176</v>
      </c>
      <c r="U18" s="196">
        <v>192</v>
      </c>
      <c r="V18" s="196">
        <v>97</v>
      </c>
      <c r="W18" s="196">
        <v>23</v>
      </c>
      <c r="X18" s="202">
        <v>109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113</v>
      </c>
      <c r="AZ18" s="139">
        <f t="shared" si="15"/>
        <v>176</v>
      </c>
      <c r="BA18" s="139">
        <f t="shared" si="15"/>
        <v>192</v>
      </c>
      <c r="BB18" s="139">
        <f t="shared" si="15"/>
        <v>97</v>
      </c>
      <c r="BC18" s="135">
        <f>IF(ISNUMBER(W18),W18," - ")</f>
        <v>23</v>
      </c>
      <c r="BD18" s="136">
        <f>IF(ISNUMBER(BA18/AZ18),BA18/AZ18," - ")</f>
        <v>1.0909090909090908</v>
      </c>
      <c r="BE18" s="137">
        <f>IF(ISNUMBER(BB18/BA18),BB18/BA18, " - ")</f>
        <v>0.50520833333333337</v>
      </c>
      <c r="BF18" s="137">
        <f>IF(ISNUMBER(BC18/BA18),BC18/BA18, " - ")</f>
        <v>0.11979166666666667</v>
      </c>
      <c r="BG18" s="209">
        <f>IF(ISNUMBER((AY18+AZ18)/BA18),(AY18+AZ18)/BA18," - ")</f>
        <v>1.5052083333333333</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2157</v>
      </c>
      <c r="J23" s="197">
        <f t="shared" si="21"/>
        <v>1892</v>
      </c>
      <c r="K23" s="197">
        <f t="shared" si="21"/>
        <v>2013</v>
      </c>
      <c r="L23" s="197">
        <f t="shared" si="21"/>
        <v>2066</v>
      </c>
      <c r="M23" s="197">
        <f t="shared" si="21"/>
        <v>366</v>
      </c>
      <c r="N23" s="197">
        <f t="shared" si="21"/>
        <v>1082</v>
      </c>
      <c r="O23" s="197">
        <f t="shared" si="21"/>
        <v>68</v>
      </c>
      <c r="P23" s="197">
        <f t="shared" si="21"/>
        <v>103</v>
      </c>
      <c r="Q23" s="197">
        <f t="shared" si="21"/>
        <v>93</v>
      </c>
      <c r="R23" s="197">
        <f t="shared" si="21"/>
        <v>339</v>
      </c>
      <c r="S23" s="197">
        <f t="shared" si="21"/>
        <v>2257</v>
      </c>
      <c r="T23" s="197">
        <f t="shared" si="21"/>
        <v>1836</v>
      </c>
      <c r="U23" s="197">
        <f t="shared" si="21"/>
        <v>1961</v>
      </c>
      <c r="V23" s="197">
        <f t="shared" si="21"/>
        <v>2118</v>
      </c>
      <c r="W23" s="197">
        <f t="shared" si="21"/>
        <v>395</v>
      </c>
      <c r="X23" s="197">
        <f t="shared" si="21"/>
        <v>914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1</v>
      </c>
      <c r="AM23" s="197">
        <f t="shared" si="21"/>
        <v>1</v>
      </c>
      <c r="AN23" s="197">
        <f t="shared" si="21"/>
        <v>1</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2257</v>
      </c>
      <c r="AZ23" s="197">
        <f>SUBTOTAL(9,AZ15:AZ22)</f>
        <v>1836</v>
      </c>
      <c r="BA23" s="197">
        <f>SUBTOTAL(9,BA15:BA22)</f>
        <v>1961</v>
      </c>
      <c r="BB23" s="197">
        <f>SUBTOTAL(9,BB15:BB22)</f>
        <v>2118</v>
      </c>
      <c r="BC23" s="197">
        <f>SUBTOTAL(9,BC15:BC22)</f>
        <v>395</v>
      </c>
      <c r="BD23" s="219">
        <f>IF(ISNUMBER(BA23/AZ23),BA23/AZ23," - ")</f>
        <v>1.068082788671024</v>
      </c>
      <c r="BE23" s="220">
        <f>IF(ISNUMBER(BB23/BA23),BB23/BA23, " - ")</f>
        <v>1.0800611932687405</v>
      </c>
      <c r="BF23" s="220">
        <f>IF(ISNUMBER(BC23/BA23),BC23/BA23, " - ")</f>
        <v>0.20142784293727689</v>
      </c>
      <c r="BG23" s="221">
        <f>IF(ISNUMBER((AY23+AZ23)/BA23),(AY23+AZ23)/BA23," - ")</f>
        <v>2.087200407955125</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5795</v>
      </c>
      <c r="J31" s="144">
        <f t="shared" si="36"/>
        <v>3734</v>
      </c>
      <c r="K31" s="144">
        <f t="shared" si="36"/>
        <v>3625</v>
      </c>
      <c r="L31" s="144">
        <f t="shared" si="36"/>
        <v>5934</v>
      </c>
      <c r="M31" s="144">
        <f t="shared" si="36"/>
        <v>760</v>
      </c>
      <c r="N31" s="144">
        <f t="shared" si="36"/>
        <v>1815</v>
      </c>
      <c r="O31" s="144">
        <f t="shared" si="36"/>
        <v>1062</v>
      </c>
      <c r="P31" s="144">
        <f t="shared" si="36"/>
        <v>622</v>
      </c>
      <c r="Q31" s="144">
        <f t="shared" si="36"/>
        <v>635</v>
      </c>
      <c r="R31" s="144">
        <f t="shared" si="36"/>
        <v>6484</v>
      </c>
      <c r="S31" s="144">
        <f t="shared" si="36"/>
        <v>6109</v>
      </c>
      <c r="T31" s="144">
        <f t="shared" si="36"/>
        <v>3391</v>
      </c>
      <c r="U31" s="144">
        <f t="shared" si="36"/>
        <v>3851</v>
      </c>
      <c r="V31" s="144">
        <f t="shared" si="36"/>
        <v>5640</v>
      </c>
      <c r="W31" s="144">
        <f t="shared" si="36"/>
        <v>872</v>
      </c>
      <c r="X31" s="144">
        <f t="shared" si="36"/>
        <v>1701</v>
      </c>
      <c r="Y31" s="144">
        <f t="shared" si="36"/>
        <v>157</v>
      </c>
      <c r="Z31" s="144">
        <f t="shared" si="36"/>
        <v>142</v>
      </c>
      <c r="AA31" s="144">
        <f t="shared" si="36"/>
        <v>145</v>
      </c>
      <c r="AB31" s="144">
        <f t="shared" si="36"/>
        <v>154</v>
      </c>
      <c r="AC31" s="144">
        <f t="shared" si="36"/>
        <v>0</v>
      </c>
      <c r="AD31" s="144">
        <f t="shared" si="36"/>
        <v>0</v>
      </c>
      <c r="AE31" s="144">
        <f t="shared" si="36"/>
        <v>0</v>
      </c>
      <c r="AF31" s="144">
        <f t="shared" si="36"/>
        <v>0</v>
      </c>
      <c r="AG31" s="144">
        <f t="shared" si="36"/>
        <v>140</v>
      </c>
      <c r="AH31" s="144">
        <f t="shared" si="36"/>
        <v>158</v>
      </c>
      <c r="AI31" s="144">
        <f t="shared" si="36"/>
        <v>168</v>
      </c>
      <c r="AJ31" s="144">
        <f t="shared" si="36"/>
        <v>130</v>
      </c>
      <c r="AK31" s="144">
        <f t="shared" si="36"/>
        <v>1</v>
      </c>
      <c r="AL31" s="144">
        <f t="shared" si="36"/>
        <v>1</v>
      </c>
      <c r="AM31" s="144">
        <f t="shared" si="36"/>
        <v>1</v>
      </c>
      <c r="AN31" s="224">
        <f t="shared" si="36"/>
        <v>1</v>
      </c>
      <c r="AO31" s="225">
        <v>10</v>
      </c>
      <c r="AP31" s="225">
        <v>10</v>
      </c>
      <c r="AQ31" s="225">
        <v>10</v>
      </c>
      <c r="AR31" s="225">
        <v>10</v>
      </c>
      <c r="AS31" s="166">
        <f t="shared" si="36"/>
        <v>0</v>
      </c>
      <c r="AT31" s="166">
        <f t="shared" si="36"/>
        <v>0</v>
      </c>
      <c r="AU31" s="225"/>
      <c r="AV31" s="226"/>
      <c r="AW31" s="225"/>
      <c r="AX31" s="226"/>
      <c r="AY31" s="143">
        <f>SUBTOTAL(9,AY9:AY30)</f>
        <v>6249</v>
      </c>
      <c r="AZ31" s="144">
        <f>SUBTOTAL(9,AZ9:AZ30)</f>
        <v>3549</v>
      </c>
      <c r="BA31" s="144">
        <f>SUBTOTAL(9,BA9:BA30)</f>
        <v>4019</v>
      </c>
      <c r="BB31" s="144">
        <f>SUBTOTAL(9,BB9:BB30)</f>
        <v>5770</v>
      </c>
      <c r="BC31" s="145">
        <f>SUBTOTAL(9,BC9:BC30)</f>
        <v>1188</v>
      </c>
      <c r="BD31" s="227">
        <f>IF(ISNUMBER(BA31/AZ31),BA31/AZ31," - ")</f>
        <v>1.1324316708932094</v>
      </c>
      <c r="BE31" s="224">
        <f>IF(ISNUMBER(BB31/BA31),BB31/BA31, " - ")</f>
        <v>1.4356805175416771</v>
      </c>
      <c r="BF31" s="224">
        <f>IF(ISNUMBER(BC31/BA31),BC31/BA31, " - ")</f>
        <v>0.29559591938293106</v>
      </c>
      <c r="BG31" s="145">
        <f>IF(ISNUMBER((AY31+AZ31)/BA31),(AY31+AZ31)/BA31," - ")</f>
        <v>2.4379198805673052</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QxROKuvIkmN+R/JkujwrnB4F0mKRtEQ7UbMz9EI8DmKitJQv5JdJHfa6F3SBb2s6tImzu9Sc5nINjap/JEmGw==" saltValue="G78am9EM3334XvGTXew3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HeNu9biA/XuTQcNqRsfRdHYXheA6a6Z0mAayDnbd3I34TqpfA1szFrVG3NgJrcnI+SwxWvbA17pYwb8gKORxw==" saltValue="EvC7BQQQwq/c8oYk5WTD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BENIDORM</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142</v>
      </c>
      <c r="O9" s="549"/>
      <c r="P9" s="549"/>
      <c r="Q9" s="547">
        <f>IF(ISNUMBER(Datos!P9),Datos!P9,0)</f>
        <v>515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539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154</v>
      </c>
      <c r="AI9" s="549" t="str">
        <f>IF(ISNUMBER(Datos!CD9),Datos!CD9,"-")</f>
        <v>-</v>
      </c>
      <c r="AJ9" s="549" t="str">
        <f>IF(ISNUMBER(Datos!EN9),Datos!EN9," - ")</f>
        <v xml:space="preserve"> - </v>
      </c>
      <c r="AK9" s="549"/>
      <c r="AL9" s="550"/>
      <c r="AM9" s="766">
        <f>IF(ISNUMBER(Datos!R9),Datos!R9," - ")</f>
        <v>6077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385</v>
      </c>
      <c r="BD9" s="693">
        <f>IF(ISNUMBER(Datos!N9),Datos!N9," - ")</f>
        <v>725</v>
      </c>
      <c r="BE9" s="693" t="str">
        <f>IF(ISNUMBER(Datos!BW9),Datos!BW9," - ")</f>
        <v xml:space="preserve"> - </v>
      </c>
      <c r="BF9" s="762" t="str">
        <f>IF(ISNUMBER(Datos!BX9),Datos!BX9," - ")</f>
        <v xml:space="preserve"> - </v>
      </c>
      <c r="BG9" s="763">
        <f>IF(ISNUMBER(IF(J_V="SI",Datos!K9/Datos!J9,(Datos!K9+Datos!AA9)/(Datos!J9+Datos!Z9))),IF(J_V="SI",Datos!K9/Datos!J9,(Datos!K9+Datos!AA9)/(Datos!J9+Datos!Z9))," - ")</f>
        <v>0.88334182373917469</v>
      </c>
      <c r="BH9" s="764">
        <f>IF(ISNUMBER(((IF(J_V="SI",Datos!L9/Datos!K9,(Datos!L9+Datos!AB9)/(Datos!K9+Datos!AA9)))*11)/factor_trimestre),((IF(J_V="SI",Datos!L9/Datos!K9,(Datos!L9+Datos!AB9)/(Datos!K9+Datos!AA9)))*11)/factor_trimestre," - ")</f>
        <v>6.8650519031141872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-3.9337813473201118E-3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54</v>
      </c>
      <c r="G10" s="543">
        <f>IF(ISNUMBER(Datos!I10),Datos!I10," - ")</f>
        <v>54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23</v>
      </c>
      <c r="AC10" s="547">
        <f>IF(ISNUMBER(Datos!Q10),Datos!Q10," - ")</f>
        <v>3</v>
      </c>
      <c r="AD10" s="549"/>
      <c r="AE10" s="563"/>
      <c r="AF10" s="551">
        <f>IF(ISNUMBER(Datos!L10),Datos!L10,"-")</f>
        <v>52</v>
      </c>
      <c r="AG10" s="549"/>
      <c r="AH10" s="549"/>
      <c r="AI10" s="549"/>
      <c r="AJ10" s="549"/>
      <c r="AK10" s="549"/>
      <c r="AL10" s="550"/>
      <c r="AM10" s="766">
        <f>IF(ISNUMBER(Datos!R10),Datos!R10," - ")</f>
        <v>38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8</v>
      </c>
      <c r="BE10" s="693" t="str">
        <f>IF(ISNUMBER(Datos!BW10),Datos!BW10," - ")</f>
        <v xml:space="preserve"> - </v>
      </c>
      <c r="BF10" s="762" t="str">
        <f>IF(ISNUMBER(Datos!BX10),Datos!BX10," - ")</f>
        <v xml:space="preserve"> - </v>
      </c>
      <c r="BG10" s="763">
        <f>IF(ISNUMBER(Datos!K10/Datos!J10),Datos!K10/Datos!J10," - ")</f>
        <v>1.0952380952380953</v>
      </c>
      <c r="BH10" s="764">
        <f>IF(ISNUMBER(((Datos!L10/Datos!K10)*11)/factor_trimestre),((Datos!L10/Datos!K10)*11)/factor_trimestre," - ")</f>
        <v>6.7826086956521729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2.7027027027027029E-2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54</v>
      </c>
      <c r="G14" s="1197">
        <f t="shared" si="1"/>
        <v>54</v>
      </c>
      <c r="H14" s="1198">
        <f t="shared" si="1"/>
        <v>0</v>
      </c>
      <c r="I14" s="1197">
        <f t="shared" si="1"/>
        <v>0</v>
      </c>
      <c r="J14" s="1164">
        <f t="shared" si="1"/>
        <v>0</v>
      </c>
      <c r="K14" s="1164">
        <f t="shared" si="1"/>
        <v>0</v>
      </c>
      <c r="L14" s="1198">
        <f t="shared" si="1"/>
        <v>0</v>
      </c>
      <c r="M14" s="1198">
        <f t="shared" si="1"/>
        <v>0</v>
      </c>
      <c r="N14" s="1198">
        <f t="shared" si="1"/>
        <v>142</v>
      </c>
      <c r="O14" s="1199">
        <f t="shared" si="1"/>
        <v>0</v>
      </c>
      <c r="P14" s="1199">
        <f t="shared" si="1"/>
        <v>0</v>
      </c>
      <c r="Q14" s="1198">
        <f t="shared" si="1"/>
        <v>519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23</v>
      </c>
      <c r="AC14" s="1198">
        <f t="shared" si="2"/>
        <v>542</v>
      </c>
      <c r="AD14" s="1198">
        <f t="shared" si="2"/>
        <v>0</v>
      </c>
      <c r="AE14" s="1198">
        <f t="shared" si="2"/>
        <v>0</v>
      </c>
      <c r="AF14" s="1198">
        <f t="shared" si="2"/>
        <v>52</v>
      </c>
      <c r="AG14" s="1198">
        <f t="shared" si="2"/>
        <v>0</v>
      </c>
      <c r="AH14" s="1198">
        <f t="shared" si="2"/>
        <v>154</v>
      </c>
      <c r="AI14" s="1198">
        <f t="shared" si="2"/>
        <v>0</v>
      </c>
      <c r="AJ14" s="1198">
        <f t="shared" si="2"/>
        <v>0</v>
      </c>
      <c r="AK14" s="1198">
        <f t="shared" si="2"/>
        <v>0</v>
      </c>
      <c r="AL14" s="1198">
        <f t="shared" si="2"/>
        <v>0</v>
      </c>
      <c r="AM14" s="1198">
        <f t="shared" si="2"/>
        <v>6145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394</v>
      </c>
      <c r="BD14" s="1198">
        <f t="shared" si="2"/>
        <v>733</v>
      </c>
      <c r="BE14" s="1198">
        <f t="shared" si="2"/>
        <v>0</v>
      </c>
      <c r="BF14" s="1198">
        <f t="shared" si="2"/>
        <v>0</v>
      </c>
      <c r="BG14" s="1198">
        <f>IF(ISNUMBER(Datos!K14/Datos!J14),Datos!K14/Datos!J14," - ")</f>
        <v>0.87513572204125945</v>
      </c>
      <c r="BH14" s="1202">
        <f>IF(ISNUMBER(((Datos!L14/Datos!K14)*11)/factor_trimestre),((Datos!L14/Datos!K14)*11)/factor_trimestre," - ")</f>
        <v>7.1985111662531018</v>
      </c>
      <c r="BI14" s="1198">
        <f>IF(ISNUMBER('Resol  Asuntos'!D14/NºAsuntos!G14),'Resol  Asuntos'!D14/NºAsuntos!G14," - ")</f>
        <v>0.22424587364826409</v>
      </c>
      <c r="BJ14" s="1198" t="str">
        <f>IF(ISNUMBER(Datos!CI14/Datos!CJ14),Datos!CI14/Datos!CJ14," - ")</f>
        <v xml:space="preserve"> - </v>
      </c>
      <c r="BK14" s="1198">
        <f>SUBTOTAL(9,BK8:BK13)</f>
        <v>0</v>
      </c>
      <c r="BL14" s="1198">
        <f>IF(ISNUMBER((I14-AB14+L14)/(F14)),(I14-AB14+L14)/(F14)," - ")</f>
        <v>-0.42592592592592593</v>
      </c>
      <c r="BM14" s="1203">
        <f>SUBTOTAL(9,BM9:BM13)</f>
        <v>2.3093245679706918E-2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2082</v>
      </c>
      <c r="G16" s="743">
        <f>IF(ISNUMBER(IF(D_I="SI",Datos!I16,Datos!I16+Datos!AC16)),IF(D_I="SI",Datos!I16,Datos!I16+Datos!AC16)," - ")</f>
        <v>2053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101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1776</v>
      </c>
      <c r="AC16" s="240">
        <f>IF(ISNUMBER(Datos!Q16),Datos!Q16," - ")</f>
        <v>90</v>
      </c>
      <c r="AD16" s="374"/>
      <c r="AE16" s="562"/>
      <c r="AF16" s="741">
        <f>IF(ISNUMBER(IF(D_I="SI",Datos!L16,Datos!L16+Datos!AF16)),IF(D_I="SI",Datos!L16,Datos!L16+Datos!AF16)," - ")</f>
        <v>1961</v>
      </c>
      <c r="AG16" s="374"/>
      <c r="AH16" s="374"/>
      <c r="AI16" s="374"/>
      <c r="AJ16" s="549"/>
      <c r="AK16" s="374"/>
      <c r="AL16" s="545"/>
      <c r="AM16" s="375">
        <f>IF(ISNUMBER(Datos!R16),Datos!R16," - ")</f>
        <v>336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319</v>
      </c>
      <c r="BD16" s="243">
        <f>IF(ISNUMBER(Datos!N16),Datos!N16," - ")</f>
        <v>973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1.0731117824773413</v>
      </c>
      <c r="BH16" s="764">
        <f>IF(ISNUMBER(((IF(D_I="SI",Datos!L16/Datos!K16,(Datos!L16+Datos!AF16)/(Datos!K16+Datos!AE16)))*11)/factor_trimestre),((IF(D_I="SI",Datos!L16/Datos!K16,(Datos!L16+Datos!AF16)/(Datos!K16+Datos!AE16)))*11)/factor_trimestre," - ")</f>
        <v>3.3125000000000004</v>
      </c>
      <c r="BI16" s="266">
        <f>IF(ISNUMBER('Resol  Asuntos'!D16/NºAsuntos!G16),'Resol  Asuntos'!D16/NºAsuntos!G16," - ")</f>
        <v>0.17961711711711711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2</v>
      </c>
      <c r="G17" s="743">
        <f>IF(ISNUMBER(IF(D_I="SI",Datos!I17,Datos!I17+Datos!AC17)),IF(D_I="SI",Datos!I17,Datos!I17+Datos!AC17)," - ")</f>
        <v>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2</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102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237</v>
      </c>
      <c r="AC18" s="547">
        <f>IF(ISNUMBER(Datos!Q18),Datos!Q18," - ")</f>
        <v>3</v>
      </c>
      <c r="AD18" s="549"/>
      <c r="AE18" s="562"/>
      <c r="AF18" s="551">
        <f>IF(ISNUMBER(Datos!L18),Datos!L18,"-")</f>
        <v>103</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47</v>
      </c>
      <c r="BD18" s="693">
        <f>IF(ISNUMBER(Datos!N18),Datos!N18," - ")</f>
        <v>109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1.3037974683544304</v>
      </c>
      <c r="BI18" s="763">
        <f>IF(ISNUMBER('Resol  Asuntos'!D18/NºAsuntos!G18),'Resol  Asuntos'!D18/NºAsuntos!G18," - ")</f>
        <v>0.19831223628691982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2084</v>
      </c>
      <c r="G23" s="1197">
        <f>SUBTOTAL(9,G16:G22)</f>
        <v>2157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2013</v>
      </c>
      <c r="AC23" s="1198">
        <f t="shared" si="5"/>
        <v>93</v>
      </c>
      <c r="AD23" s="1198">
        <f t="shared" si="5"/>
        <v>0</v>
      </c>
      <c r="AE23" s="1198">
        <f t="shared" si="5"/>
        <v>0</v>
      </c>
      <c r="AF23" s="1198">
        <f t="shared" si="5"/>
        <v>2066</v>
      </c>
      <c r="AG23" s="1198">
        <f t="shared" si="5"/>
        <v>0</v>
      </c>
      <c r="AH23" s="1198">
        <f t="shared" si="5"/>
        <v>0</v>
      </c>
      <c r="AI23" s="1198">
        <f t="shared" si="5"/>
        <v>0</v>
      </c>
      <c r="AJ23" s="1198">
        <f t="shared" si="5"/>
        <v>0</v>
      </c>
      <c r="AK23" s="1198">
        <f t="shared" si="5"/>
        <v>0</v>
      </c>
      <c r="AL23" s="1198">
        <f t="shared" si="5"/>
        <v>0</v>
      </c>
      <c r="AM23" s="1198">
        <f t="shared" si="5"/>
        <v>339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366</v>
      </c>
      <c r="BD23" s="1198">
        <f t="shared" si="5"/>
        <v>1082</v>
      </c>
      <c r="BE23" s="1198">
        <f t="shared" si="5"/>
        <v>0</v>
      </c>
      <c r="BF23" s="1198">
        <f t="shared" si="5"/>
        <v>0</v>
      </c>
      <c r="BG23" s="1198">
        <f>IF(ISNUMBER(Datos!K23/Datos!J23),Datos!K23/Datos!J23," - ")</f>
        <v>1.0639534883720929</v>
      </c>
      <c r="BH23" s="1202">
        <f>IF(ISNUMBER(((Datos!L23/Datos!K23)*11)/factor_trimestre),((Datos!L23/Datos!K23)*11)/factor_trimestre," - ")</f>
        <v>3.0789865871833086</v>
      </c>
      <c r="BI23" s="1198">
        <f>SUBTOTAL(9,BI16:BI22)</f>
        <v>0.37792935340403694</v>
      </c>
      <c r="BJ23" s="1198">
        <f>SUBTOTAL(9,BJ16:BJ22)</f>
        <v>0</v>
      </c>
      <c r="BK23" s="1198">
        <f>SUBTOTAL(9,BK16:BK22)</f>
        <v>0</v>
      </c>
      <c r="BL23" s="1198">
        <f>IF(ISNUMBER((I23-AB23+L23)/(F23)),(I23-AB23+L23)/(F23)," - ")</f>
        <v>-0.96593090211132437</v>
      </c>
      <c r="BM23" s="1205">
        <f>IF(ISNUMBER((Datos!P23-Datos!Q23)/(Datos!R23-Datos!P23+Datos!Q23)),(Datos!P23-Datos!Q23)/(Datos!R23-Datos!P23+Datos!Q23)," - ")</f>
        <v>3.0395136778115502E-2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2138</v>
      </c>
      <c r="G31" s="1117">
        <f t="shared" si="18"/>
        <v>2211</v>
      </c>
      <c r="H31" s="1119">
        <f t="shared" si="18"/>
        <v>0</v>
      </c>
      <c r="I31" s="1117">
        <f t="shared" si="18"/>
        <v>0</v>
      </c>
      <c r="J31" s="1119">
        <f t="shared" si="18"/>
        <v>0</v>
      </c>
      <c r="K31" s="1119">
        <f t="shared" si="18"/>
        <v>0</v>
      </c>
      <c r="L31" s="1180">
        <f t="shared" si="18"/>
        <v>0</v>
      </c>
      <c r="M31" s="1180">
        <f t="shared" si="18"/>
        <v>0</v>
      </c>
      <c r="N31" s="1180">
        <f t="shared" si="18"/>
        <v>142</v>
      </c>
      <c r="O31" s="1180">
        <f t="shared" si="18"/>
        <v>0</v>
      </c>
      <c r="P31" s="1180">
        <f t="shared" si="18"/>
        <v>0</v>
      </c>
      <c r="Q31" s="1119">
        <f t="shared" si="18"/>
        <v>622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2036</v>
      </c>
      <c r="AC31" s="1118">
        <f t="shared" si="19"/>
        <v>635</v>
      </c>
      <c r="AD31" s="1118">
        <f t="shared" si="19"/>
        <v>0</v>
      </c>
      <c r="AE31" s="1118">
        <f t="shared" si="19"/>
        <v>0</v>
      </c>
      <c r="AF31" s="1125">
        <f t="shared" si="19"/>
        <v>2118</v>
      </c>
      <c r="AG31" s="1125">
        <f t="shared" si="19"/>
        <v>0</v>
      </c>
      <c r="AH31" s="1125">
        <f t="shared" si="19"/>
        <v>154</v>
      </c>
      <c r="AI31" s="1125">
        <f t="shared" si="19"/>
        <v>0</v>
      </c>
      <c r="AJ31" s="1118">
        <f t="shared" si="19"/>
        <v>0</v>
      </c>
      <c r="AK31" s="1125">
        <f t="shared" si="19"/>
        <v>0</v>
      </c>
      <c r="AL31" s="1125">
        <f t="shared" si="19"/>
        <v>0</v>
      </c>
      <c r="AM31" s="1125">
        <f t="shared" si="19"/>
        <v>6484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760</v>
      </c>
      <c r="BD31" s="1117">
        <f t="shared" si="19"/>
        <v>1815</v>
      </c>
      <c r="BE31" s="1117">
        <f t="shared" si="19"/>
        <v>0</v>
      </c>
      <c r="BF31" s="1127">
        <f t="shared" si="19"/>
        <v>0</v>
      </c>
      <c r="BG31" s="1223">
        <f>IF(ISNUMBER(Datos!K31/Datos!J31),Datos!K31/Datos!J31," - ")</f>
        <v>0.97080878414568827</v>
      </c>
      <c r="BH31" s="1223">
        <f>IF(ISNUMBER(((Datos!L31/Datos!K31)*11)/factor_trimestre),((Datos!L31/Datos!K31)*11)/factor_trimestre," - ")</f>
        <v>4.9108965517241376</v>
      </c>
      <c r="BI31" s="1103">
        <f>IF(ISNUMBER(Datos!J31/Datos!I31),Datos!J31/Datos!I31," - ")</f>
        <v>0.64434857635893006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-0.95229186155285317</v>
      </c>
      <c r="BM31" s="1188">
        <f>IF(ISNUMBER((Datos!P31-Datos!Q31+R31)/(Datos!R31-Datos!P31+Datos!Q31-R31)),(Datos!P31-Datos!Q31+R31)/(Datos!R31-Datos!P31+Datos!Q31-R31)," - ")</f>
        <v>-2.0009235031553025E-3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552.75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2.0886773564663366</v>
      </c>
      <c r="F33" s="673">
        <f>IF(ISNUMBER(STDEV(F8:F30)),STDEV(F8:F30),"-")</f>
        <v>1005.9482141361998</v>
      </c>
      <c r="G33" s="674">
        <f>IF(ISNUMBER(STDEV(G8:G30)),STDEV(G8:G30),"-")</f>
        <v>959.12441469141163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861.13911270396466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185.72021968541821</v>
      </c>
      <c r="BD33" s="673"/>
      <c r="BE33" s="673">
        <f>IF(ISNUMBER(STDEV(BE8:BE30)),STDEV(BE8:BE30),"-")</f>
        <v>0</v>
      </c>
      <c r="BF33" s="678">
        <f>IF(ISNUMBER(STDEV(BF8:BF30)),STDEV(BF8:BF30),"-")</f>
        <v>0</v>
      </c>
      <c r="BG33" s="1052">
        <f>IF(ISNUMBER(STDEV(BG8:BG30)),STDEV(BG8:BG30),"-")</f>
        <v>9.7664455080528026E-2</v>
      </c>
      <c r="BH33" s="1058">
        <f>IF(ISNUMBER(STDEV(BH8:BH30)),STDEV(BH8:BH30),"-")</f>
        <v>2.50339238346147</v>
      </c>
      <c r="BI33" s="273">
        <f>IF(ISNUMBER(STDEV(BI8:BI30)),STDEV(BI8:BI30),"-")</f>
        <v>9.0472118499525189E-2</v>
      </c>
      <c r="BJ33" s="244" t="str">
        <f>IF(ISNUMBER(BL33/BM33),BL33/BM33," - ")</f>
        <v xml:space="preserve"> - </v>
      </c>
      <c r="BK33" s="709"/>
      <c r="BL33" s="681">
        <f>IF(ISNUMBER(STDEV(BL8:BL30)),STDEV(BL8:BL30),"-")</f>
        <v>0.3818411805351753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HQ1fhZnMBQYyqHcherHyQzifhHQEs9tzlrMgn6oQC7yDP5H27QjfTQZHnvQcQO5UEiVnpKQRKcWj15Y56pOjA==" saltValue="UjHrr0FTMFtmNHLDr/HC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BENIDORM</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515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539</v>
      </c>
      <c r="AA9" s="551" t="str">
        <f>IF(ISNUMBER(IF(J_V="SI",Datos!L9,Datos!L9+Datos!AB9)-IF(Monitorios="SI",Datos!CD9,0)),
                          IF(J_V="SI",Datos!L9,Datos!L9+Datos!AB9)-IF(Monitorios="SI",Datos!CD9,0),
                          " - ")</f>
        <v xml:space="preserve"> - </v>
      </c>
      <c r="AB9" s="549"/>
      <c r="AC9" s="549"/>
      <c r="AD9" s="563"/>
      <c r="AE9" s="563">
        <f>IF(ISNUMBER(Datos!R9),Datos!R9," - ")</f>
        <v>6077</v>
      </c>
      <c r="AF9" s="693" t="str">
        <f>IF(ISNUMBER(Datos!BV9),Datos!BV9," - ")</f>
        <v xml:space="preserve"> - </v>
      </c>
      <c r="AG9" s="552" t="str">
        <f>IF(ISNUMBER(Datos!DV9),Datos!DV9," - ")</f>
        <v xml:space="preserve"> - </v>
      </c>
      <c r="AH9" s="553"/>
      <c r="AI9" s="554"/>
      <c r="AJ9" s="552">
        <f>IF(ISNUMBER(Datos!M9),Datos!M9," - ")</f>
        <v>385</v>
      </c>
      <c r="AK9" s="693">
        <f>IF(ISNUMBER(Datos!N9),Datos!N9," - ")</f>
        <v>725</v>
      </c>
      <c r="AL9" s="693" t="str">
        <f>IF(ISNUMBER(Datos!BW9),Datos!BW9," - ")</f>
        <v xml:space="preserve"> - </v>
      </c>
      <c r="AM9" s="762" t="str">
        <f>IF(ISNUMBER(Datos!BX9),Datos!BX9," - ")</f>
        <v xml:space="preserve"> - </v>
      </c>
      <c r="AN9" s="763"/>
      <c r="AO9" s="764">
        <f>IF(ISNUMBER(((NºAsuntos!I9/NºAsuntos!G9)*11)/factor_trimestre),((NºAsuntos!I9/NºAsuntos!G9)*11)/factor_trimestre," - ")</f>
        <v>6.8650519031141872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-3.9337813473201118E-3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54</v>
      </c>
      <c r="G10" s="552">
        <f>IF(ISNUMBER(Datos!I10),Datos!I10," - ")</f>
        <v>54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23</v>
      </c>
      <c r="Z10" s="805">
        <f>IF(ISNUMBER(Datos!Q10),Datos!Q10," - ")</f>
        <v>3</v>
      </c>
      <c r="AA10" s="551">
        <f>IF(ISNUMBER(Datos!L10),Datos!L10,"-")</f>
        <v>52</v>
      </c>
      <c r="AB10" s="549"/>
      <c r="AC10" s="549"/>
      <c r="AD10" s="563"/>
      <c r="AE10" s="563">
        <f>IF(ISNUMBER(Datos!R10),Datos!R10," - ")</f>
        <v>38</v>
      </c>
      <c r="AF10" s="693" t="str">
        <f>IF(ISNUMBER(Datos!BV10),Datos!BV10," - ")</f>
        <v xml:space="preserve"> - </v>
      </c>
      <c r="AG10" s="552" t="str">
        <f>IF(ISNUMBER(Datos!DV10),Datos!DV10," - ")</f>
        <v xml:space="preserve"> - </v>
      </c>
      <c r="AH10" s="553"/>
      <c r="AI10" s="554"/>
      <c r="AJ10" s="552">
        <f>IF(ISNUMBER(Datos!M10),Datos!M10," - ")</f>
        <v>9</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6.7826086956521729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2.7027027027027029E-2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30</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54</v>
      </c>
      <c r="G14" s="1197">
        <f>SUBTOTAL(9,G8:G13)</f>
        <v>54</v>
      </c>
      <c r="H14" s="1211"/>
      <c r="I14" s="1197">
        <f t="shared" ref="I14:N14" si="1">SUBTOTAL(9,I8:I13)</f>
        <v>0</v>
      </c>
      <c r="J14" s="1164">
        <f t="shared" si="1"/>
        <v>0</v>
      </c>
      <c r="K14" s="1211">
        <f t="shared" si="1"/>
        <v>0</v>
      </c>
      <c r="L14" s="1211">
        <f t="shared" si="1"/>
        <v>0</v>
      </c>
      <c r="M14" s="1211">
        <f t="shared" si="1"/>
        <v>0</v>
      </c>
      <c r="N14" s="1211">
        <f t="shared" si="1"/>
        <v>519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23</v>
      </c>
      <c r="Z14" s="1210">
        <f t="shared" si="3"/>
        <v>542</v>
      </c>
      <c r="AA14" s="1199">
        <f t="shared" si="3"/>
        <v>52</v>
      </c>
      <c r="AB14" s="1199">
        <f t="shared" si="3"/>
        <v>0</v>
      </c>
      <c r="AC14" s="1199">
        <f t="shared" si="3"/>
        <v>0</v>
      </c>
      <c r="AD14" s="1199">
        <f t="shared" si="3"/>
        <v>0</v>
      </c>
      <c r="AE14" s="1199">
        <f t="shared" si="3"/>
        <v>6145</v>
      </c>
      <c r="AF14" s="1211">
        <f t="shared" si="3"/>
        <v>0</v>
      </c>
      <c r="AG14" s="1211">
        <f t="shared" si="3"/>
        <v>0</v>
      </c>
      <c r="AH14" s="1211">
        <f t="shared" si="3"/>
        <v>0</v>
      </c>
      <c r="AI14" s="1211">
        <f t="shared" si="3"/>
        <v>0</v>
      </c>
      <c r="AJ14" s="1211">
        <f t="shared" si="3"/>
        <v>394</v>
      </c>
      <c r="AK14" s="1211">
        <f t="shared" si="3"/>
        <v>733</v>
      </c>
      <c r="AL14" s="1211">
        <f t="shared" si="3"/>
        <v>0</v>
      </c>
      <c r="AM14" s="1211">
        <f t="shared" si="3"/>
        <v>0</v>
      </c>
      <c r="AN14" s="1211">
        <f t="shared" si="3"/>
        <v>0</v>
      </c>
      <c r="AO14" s="1203">
        <f>IF(ISNUMBER(((NºAsuntos!I14/NºAsuntos!G14)*11)/factor_trimestre),((NºAsuntos!I14/NºAsuntos!G14)*11)/factor_trimestre," - ")</f>
        <v>6.8673875924871943</v>
      </c>
      <c r="AP14" s="1213" t="str">
        <f>IF(ISNUMBER(Datos!CI14/Datos!CJ14),Datos!CI14/Datos!CJ14," - ")</f>
        <v xml:space="preserve"> - </v>
      </c>
      <c r="AQ14" s="1236">
        <f t="shared" ref="AQ14:AV14" si="4">SUBTOTAL(9,AQ9:AQ13)</f>
        <v>0</v>
      </c>
      <c r="AR14" s="1236">
        <f t="shared" si="4"/>
        <v>2.3093245679706918E-2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2082</v>
      </c>
      <c r="G16" s="552">
        <f>IF(ISNUMBER(IF(D_I="SI",Datos!I16,Datos!I16+Datos!AC16)),IF(D_I="SI",Datos!I16,Datos!I16+Datos!AC16)," - ")</f>
        <v>2053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101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1776</v>
      </c>
      <c r="Z16" s="805">
        <f>IF(ISNUMBER(Datos!Q16),Datos!Q16," - ")</f>
        <v>90</v>
      </c>
      <c r="AA16" s="551">
        <f>IF(ISNUMBER(IF(D_I="SI",Datos!L16,Datos!L16+Datos!AF16)),IF(D_I="SI",Datos!L16,Datos!L16+Datos!AF16)," - ")</f>
        <v>1961</v>
      </c>
      <c r="AB16" s="549"/>
      <c r="AC16" s="549"/>
      <c r="AD16" s="563"/>
      <c r="AE16" s="563">
        <f>IF(ISNUMBER(Datos!R16),Datos!R16," - ")</f>
        <v>336</v>
      </c>
      <c r="AF16" s="693" t="str">
        <f>IF(ISNUMBER(Datos!BV16),Datos!BV16," - ")</f>
        <v xml:space="preserve"> - </v>
      </c>
      <c r="AG16" s="552"/>
      <c r="AH16" s="553"/>
      <c r="AI16" s="554"/>
      <c r="AJ16" s="552">
        <f>IF(ISNUMBER(Datos!M16),Datos!M16," - ")</f>
        <v>319</v>
      </c>
      <c r="AK16" s="693">
        <f>IF(ISNUMBER(Datos!N16),Datos!N16," - ")</f>
        <v>973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3.3125000000000004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2</v>
      </c>
      <c r="G17" s="552">
        <f>IF(ISNUMBER(IF(D_I="SI",Datos!I17,Datos!I17+Datos!AC17)),IF(D_I="SI",Datos!I17,Datos!I17+Datos!AC17)," - ")</f>
        <v>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2</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102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237</v>
      </c>
      <c r="Z18" s="805">
        <f>IF(ISNUMBER(Datos!Q18),Datos!Q18," - ")</f>
        <v>3</v>
      </c>
      <c r="AA18" s="551">
        <f>IF(ISNUMBER(Datos!L18),Datos!L18,"-")</f>
        <v>103</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47</v>
      </c>
      <c r="AK18" s="693">
        <f>IF(ISNUMBER(Datos!N18),Datos!N18," - ")</f>
        <v>109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1.3037974683544304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2084</v>
      </c>
      <c r="G23" s="1197">
        <f>SUBTOTAL(9,G16:G22)</f>
        <v>2157</v>
      </c>
      <c r="H23" s="1240">
        <f>SUBTOTAL(9,H16:H22)</f>
        <v>0</v>
      </c>
      <c r="I23" s="1217">
        <f>SUBTOTAL(9,I16:I22)</f>
        <v>0</v>
      </c>
      <c r="J23" s="1164">
        <f>SUBTOTAL(9,J15:J22)</f>
        <v>0</v>
      </c>
      <c r="K23" s="1240">
        <f t="shared" ref="K23:S23" si="5">SUBTOTAL(9,K16:K22)</f>
        <v>0</v>
      </c>
      <c r="L23" s="1240">
        <f t="shared" si="5"/>
        <v>0</v>
      </c>
      <c r="M23" s="1240">
        <f t="shared" si="5"/>
        <v>0</v>
      </c>
      <c r="N23" s="1240">
        <f t="shared" si="5"/>
        <v>103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2013</v>
      </c>
      <c r="Z23" s="1240">
        <f t="shared" si="6"/>
        <v>93</v>
      </c>
      <c r="AA23" s="1240">
        <f t="shared" si="6"/>
        <v>2066</v>
      </c>
      <c r="AB23" s="1240">
        <f t="shared" si="6"/>
        <v>0</v>
      </c>
      <c r="AC23" s="1240">
        <f t="shared" si="6"/>
        <v>0</v>
      </c>
      <c r="AD23" s="1240">
        <f t="shared" si="6"/>
        <v>0</v>
      </c>
      <c r="AE23" s="1240">
        <f t="shared" si="6"/>
        <v>339</v>
      </c>
      <c r="AF23" s="1240">
        <f t="shared" si="6"/>
        <v>0</v>
      </c>
      <c r="AG23" s="1240">
        <f t="shared" si="6"/>
        <v>0</v>
      </c>
      <c r="AH23" s="1240">
        <f t="shared" si="6"/>
        <v>0</v>
      </c>
      <c r="AI23" s="1240">
        <f t="shared" si="6"/>
        <v>0</v>
      </c>
      <c r="AJ23" s="1240">
        <f t="shared" si="6"/>
        <v>366</v>
      </c>
      <c r="AK23" s="1240">
        <f t="shared" si="6"/>
        <v>1082</v>
      </c>
      <c r="AL23" s="1240">
        <f t="shared" si="6"/>
        <v>0</v>
      </c>
      <c r="AM23" s="1240">
        <f t="shared" si="6"/>
        <v>0</v>
      </c>
      <c r="AN23" s="1240">
        <f t="shared" si="6"/>
        <v>0</v>
      </c>
      <c r="AO23" s="1242">
        <f>IF(ISNUMBER(((NºAsuntos!I23/NºAsuntos!G23)*11)/factor_trimestre),((NºAsuntos!I23/NºAsuntos!G23)*11)/factor_trimestre," - ")</f>
        <v>3.0789865871833086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2138</v>
      </c>
      <c r="G31" s="1117">
        <f t="shared" si="12"/>
        <v>2211</v>
      </c>
      <c r="H31" s="1118">
        <f t="shared" si="12"/>
        <v>0</v>
      </c>
      <c r="I31" s="1117">
        <f t="shared" si="12"/>
        <v>0</v>
      </c>
      <c r="J31" s="1119">
        <f t="shared" si="12"/>
        <v>0</v>
      </c>
      <c r="K31" s="1117">
        <f t="shared" si="12"/>
        <v>0</v>
      </c>
      <c r="L31" s="1120">
        <f t="shared" si="12"/>
        <v>0</v>
      </c>
      <c r="M31" s="1117">
        <f t="shared" si="12"/>
        <v>0</v>
      </c>
      <c r="N31" s="1118">
        <f t="shared" si="12"/>
        <v>622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2036</v>
      </c>
      <c r="Z31" s="1124">
        <f t="shared" si="13"/>
        <v>635</v>
      </c>
      <c r="AA31" s="1125">
        <f t="shared" si="13"/>
        <v>2118</v>
      </c>
      <c r="AB31" s="1125">
        <f t="shared" si="13"/>
        <v>0</v>
      </c>
      <c r="AC31" s="1125">
        <f t="shared" si="13"/>
        <v>0</v>
      </c>
      <c r="AD31" s="1126">
        <f t="shared" si="13"/>
        <v>0</v>
      </c>
      <c r="AE31" s="1126">
        <f t="shared" si="13"/>
        <v>6484</v>
      </c>
      <c r="AF31" s="1127">
        <f t="shared" si="13"/>
        <v>0</v>
      </c>
      <c r="AG31" s="1128">
        <f t="shared" si="13"/>
        <v>0</v>
      </c>
      <c r="AH31" s="1129">
        <f t="shared" si="13"/>
        <v>0</v>
      </c>
      <c r="AI31" s="1127">
        <f t="shared" si="13"/>
        <v>0</v>
      </c>
      <c r="AJ31" s="1117">
        <f t="shared" si="13"/>
        <v>760</v>
      </c>
      <c r="AK31" s="1117">
        <f t="shared" si="13"/>
        <v>1815</v>
      </c>
      <c r="AL31" s="1117">
        <f t="shared" si="13"/>
        <v>0</v>
      </c>
      <c r="AM31" s="1130">
        <f t="shared" si="13"/>
        <v>0</v>
      </c>
      <c r="AN31" s="1120">
        <f>IF(ISNUMBER(Datos!K31/Datos!J31),Datos!K31/Datos!J31," - ")</f>
        <v>0.97080878414568827</v>
      </c>
      <c r="AO31" s="1120">
        <f>IF(ISNUMBER(FIND("06",Criterios!A8,1)),(IF(ISNUMBER(((Datos!R31/Datos!Q31)*11)/factor_trimestre),((Datos!R31/Datos!Q31)*11)/factor_trimestre," - ")),(IF(ISNUMBER(((Datos!L31/Datos!K31)*11)/factor_trimestre),((Datos!L31/Datos!K31)*11)/factor_trimestre," - ")))</f>
        <v>4.9108965517241376</v>
      </c>
      <c r="AP31" s="1131" t="str">
        <f>IF(ISNUMBER(Datos!CI31/Datos!CJ31),Datos!CI31/Datos!CJ31," - ")</f>
        <v xml:space="preserve"> - </v>
      </c>
      <c r="AQ31" s="1131">
        <f>IF(OR(ISNUMBER(FIND("01",Criterios!A8,1)),ISNUMBER(FIND("02",Criterios!A8,1)),ISNUMBER(FIND("03",Criterios!A8,1)),ISNUMBER(FIND("04",Criterios!A8,1))),(J31-Y31+K31)/(F31-K31),(I31-Y31+K31)/(F31-K31))</f>
        <v>-0.95229186155285317</v>
      </c>
      <c r="AR31" s="1131">
        <f>IF(ISNUMBER((Datos!P31-Datos!Q31+O31)/(Datos!R31-Datos!P31+Datos!Q31-O31)),(Datos!P31-Datos!Q31+O31)/(Datos!R31-Datos!P31+Datos!Q31-O31)," - ")</f>
        <v>-2.0009235031553025E-3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552.75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1005.9482141361998</v>
      </c>
      <c r="G33" s="674">
        <f>IF(ISNUMBER(STDEV(G8:G30)),STDEV(G8:G30),"-")</f>
        <v>959.12441469141163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185.72021968541821</v>
      </c>
      <c r="AK33" s="276"/>
      <c r="AL33" s="276">
        <f>IF(ISNUMBER(STDEV(AL8:AL30)),STDEV(AL8:AL30),"-")</f>
        <v>0</v>
      </c>
      <c r="AM33" s="278">
        <f>IF(ISNUMBER(STDEV(AM8:AM30)),STDEV(AM8:AM30),"-")</f>
        <v>0</v>
      </c>
      <c r="AN33" s="660">
        <f>IF(ISNUMBER(STDEV(AN8:AN30)),STDEV(AN8:AN30),"-")</f>
        <v>0</v>
      </c>
      <c r="AO33" s="661">
        <f>IF(ISNUMBER(STDEV(AO8:AO30)),STDEV(AO8:AO30),"-")</f>
        <v>2.4416917199509549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8KNMaP3BY6SVeX+rlM/tu4y7YERZ4Hr3fyHdC/DJMHBPMwz2iLho9gvcAgEAxgFh5pbgqGMBsy1VQX0EJnmoNQ==" saltValue="0DzEMhy3r3DAzHSmexaP6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99FtgDS16xK9MqTUQUfRdvo3AVqTTWAMP0JNGB6Ms6ZSWRuT19WR94MO/7u0c3lG7SAAavfcN7FwPrI8A0a3Q==" saltValue="z5DAOQhSDE+IUP2NujYu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JNOYUQw0uPj8tCkjJOW+sEUbStWtk9IXiY8Ui2LPG7yCorzBDp2qAvmuUYKLtdFD9akmxinLePrtddSwdPU2w==" saltValue="L/mSCl/Cd/hetMx7aKBb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BENIDORM</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0.22424587364826409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0.15856577790978926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x01UBKa6Xui3IqcDYhHF9QEmr0SvYaPiXOnDq2K46CUWHjTcCcxz7dhJDQSxjKWf+IS0MRtPSo8liRkDs2ncw==" saltValue="uqI2ZWJxgyoXZeBCCPNd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7j/syaXQK2yr23oFxIZvPr2k+v3xTPs5EhhFA6M2sgSDKFA1PPPIDqO4kgJQ2vyos/E8/Y5OuZFHMwYFjH11Cw==" saltValue="fvHYNvTCbOo+178f4FoU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BENIDORM</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3739</v>
      </c>
      <c r="D9" s="452">
        <f>IF(ISNUMBER(C9/Datos!BH9),C9/Datos!BH9," - ")</f>
        <v>747.8</v>
      </c>
      <c r="E9" s="451">
        <f>IF(ISNUMBER(IF(J_V="SI",Datos!J9,Datos!J9+Datos!Z9)),IF(J_V="SI",Datos!J9,Datos!J9+Datos!Z9)," - ")</f>
        <v>1963</v>
      </c>
      <c r="F9" s="452">
        <f>IF(ISNUMBER(E9/B9),E9/B9," - ")</f>
        <v>392.6</v>
      </c>
      <c r="G9" s="451">
        <f>IF(ISNUMBER(IF(J_V="SI",Datos!K9,Datos!K9+Datos!AA9)),IF(J_V="SI",Datos!K9,Datos!K9+Datos!AA9)," - ")</f>
        <v>1734</v>
      </c>
      <c r="H9" s="452">
        <f>IF(ISNUMBER(G9/B9),G9/B9," - ")</f>
        <v>346.8</v>
      </c>
      <c r="I9" s="451">
        <f>IF(ISNUMBER(IF(J_V="SI",Datos!L9,Datos!L9+Datos!AB9)),IF(J_V="SI",Datos!L9,Datos!L9+Datos!AB9)," - ")</f>
        <v>3968</v>
      </c>
      <c r="J9" s="452">
        <f>IF(ISNUMBER(I9/B9),I9/B9," - ")</f>
        <v>793.6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54</v>
      </c>
      <c r="D10" s="452">
        <f>IF(ISNUMBER(C10/Datos!BH10),C10/Datos!BH10," - ")</f>
        <v>54</v>
      </c>
      <c r="E10" s="451">
        <f>IF(ISNUMBER(Datos!J10),Datos!J10," - ")</f>
        <v>21</v>
      </c>
      <c r="F10" s="452">
        <f>IF(ISNUMBER(E10/B10),E10/B10," - ")</f>
        <v>21</v>
      </c>
      <c r="G10" s="451">
        <f>IF(ISNUMBER(Datos!K10),Datos!K10," - ")</f>
        <v>23</v>
      </c>
      <c r="H10" s="452">
        <f>IF(ISNUMBER(G10/B10),G10/B10," - ")</f>
        <v>23</v>
      </c>
      <c r="I10" s="451">
        <f>IF(ISNUMBER(Datos!L10),Datos!L10," - ")</f>
        <v>52</v>
      </c>
      <c r="J10" s="452">
        <f>IF(ISNUMBER(I10/B10),I10/B10," - ")</f>
        <v>52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2</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2</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3795</v>
      </c>
      <c r="D14" s="1147" t="str">
        <f>IF(ISNUMBER(C14/Datos!BI14),C14/Datos!BI14," - ")</f>
        <v xml:space="preserve"> - </v>
      </c>
      <c r="E14" s="1146">
        <f>SUBTOTAL(9,E8:E13)</f>
        <v>1984</v>
      </c>
      <c r="F14" s="1147">
        <f>IF(ISNUMBER(E14/B14),E14/B14," - ")</f>
        <v>330.66666666666669</v>
      </c>
      <c r="G14" s="1146">
        <f>SUBTOTAL(9,G8:G13)</f>
        <v>1757</v>
      </c>
      <c r="H14" s="1147">
        <f>IF(ISNUMBER(G14/B14),G14/B14," - ")</f>
        <v>292.83333333333331</v>
      </c>
      <c r="I14" s="1146">
        <f>SUBTOTAL(9,I8:I13)</f>
        <v>4022</v>
      </c>
      <c r="J14" s="1147">
        <f>IF(ISNUMBER(I14/B14),I14/B14," - ")</f>
        <v>670.33333333333337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2053</v>
      </c>
      <c r="D16" s="452">
        <f>IF(ISNUMBER(C16/Datos!BH16),C16/Datos!BH16," - ")</f>
        <v>513.25</v>
      </c>
      <c r="E16" s="451">
        <f>IF(ISNUMBER(IF(D_I="SI",Datos!J16,Datos!J16+Datos!AD16)),IF(D_I="SI",Datos!J16,Datos!J16+Datos!AD16)," - ")</f>
        <v>1655</v>
      </c>
      <c r="F16" s="452">
        <f>IF(ISNUMBER(E16/B16),E16/B16," - ")</f>
        <v>413.75</v>
      </c>
      <c r="G16" s="451">
        <f>IF(ISNUMBER(IF(D_I="SI",Datos!K16,Datos!K16+Datos!AE16)),IF(D_I="SI",Datos!K16,Datos!K16+Datos!AE16)," - ")</f>
        <v>1776</v>
      </c>
      <c r="H16" s="452">
        <f>IF(ISNUMBER(G16/B16),G16/B16," - ")</f>
        <v>444</v>
      </c>
      <c r="I16" s="451">
        <f>IF(ISNUMBER(IF(D_I="SI",Datos!L16,Datos!L16+Datos!AF16)),IF(D_I="SI",Datos!L16,Datos!L16+Datos!AF16)," - ")</f>
        <v>1961</v>
      </c>
      <c r="J16" s="452">
        <f>IF(ISNUMBER(I16/B16),I16/B16," - ")</f>
        <v>490.25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2</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2</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102</v>
      </c>
      <c r="D18" s="452">
        <f>IF(ISNUMBER(C18/Datos!BH18),C18/Datos!BH18," - ")</f>
        <v>102</v>
      </c>
      <c r="E18" s="451">
        <f>IF(ISNUMBER(IF(D_I="SI",Datos!J18,Datos!J18+Datos!AD18)),IF(D_I="SI",Datos!J18,Datos!J18+Datos!AD18)," - ")</f>
        <v>237</v>
      </c>
      <c r="F18" s="452">
        <f>IF(ISNUMBER(E18/B18),E18/B18," - ")</f>
        <v>237</v>
      </c>
      <c r="G18" s="451">
        <f>IF(ISNUMBER(IF(D_I="SI",Datos!K18,Datos!K18+Datos!AE18)),IF(D_I="SI",Datos!K18,Datos!K18+Datos!AE18)," - ")</f>
        <v>237</v>
      </c>
      <c r="H18" s="452">
        <f>IF(ISNUMBER(G18/B18),G18/B18," - ")</f>
        <v>237</v>
      </c>
      <c r="I18" s="451">
        <f>IF(ISNUMBER(IF(D_I="SI",Datos!L18,Datos!L18+Datos!AF18)),IF(D_I="SI",Datos!L18,Datos!L18+Datos!AF18)," - ")</f>
        <v>103</v>
      </c>
      <c r="J18" s="452">
        <f>IF(ISNUMBER(I18/B18),I18/B18," - ")</f>
        <v>103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2157</v>
      </c>
      <c r="D23" s="1147" t="str">
        <f>IF(ISNUMBER(C23/Datos!BI23),C23/Datos!BI23," - ")</f>
        <v xml:space="preserve"> - </v>
      </c>
      <c r="E23" s="1146">
        <f>SUBTOTAL(9,E15:E22)</f>
        <v>1892</v>
      </c>
      <c r="F23" s="1147">
        <f>IF(ISNUMBER(E23/B23),E23/B23," - ")</f>
        <v>378.4</v>
      </c>
      <c r="G23" s="1146">
        <f>SUBTOTAL(9,G15:G22)</f>
        <v>2013</v>
      </c>
      <c r="H23" s="1147">
        <f>IF(ISNUMBER(G23/B23),G23/B23," - ")</f>
        <v>402.6</v>
      </c>
      <c r="I23" s="1146">
        <f>SUBTOTAL(9,I15:I22)</f>
        <v>2066</v>
      </c>
      <c r="J23" s="1147">
        <f>IF(ISNUMBER(I23/B23),I23/B23," - ")</f>
        <v>413.2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5952</v>
      </c>
      <c r="D31" s="1085" t="str">
        <f>IF(ISNUMBER(C31/Datos!BI31),C31/Datos!BI31," - ")</f>
        <v xml:space="preserve"> - </v>
      </c>
      <c r="E31" s="1084">
        <f>SUBTOTAL(9,E9:E30)</f>
        <v>3876</v>
      </c>
      <c r="F31" s="1085">
        <f>IF(ISNUMBER(E31/B31),E31/B31," - ")</f>
        <v>387.6</v>
      </c>
      <c r="G31" s="1084">
        <f>SUBTOTAL(9,G9:G30)</f>
        <v>3770</v>
      </c>
      <c r="H31" s="1085">
        <f>IF(ISNUMBER(G31/B31),G31/B31," - ")</f>
        <v>377</v>
      </c>
      <c r="I31" s="1084">
        <f>SUBTOTAL(9,I9:I30)</f>
        <v>6088</v>
      </c>
      <c r="J31" s="1085">
        <f>IF(ISNUMBER(I31/B31),I31/B31," - ")</f>
        <v>608.79999999999995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1ANO2+cXBlgrcYYr6Xw0yq5XMza7zMEaUJRHXVJXfNv6GX2+Gj/pnwgtFG+y83VoIup0Kp1pJGHyuMc1+/+0w==" saltValue="kWV+ExotD0cJZiWM4FTz5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BENIDORM</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54</v>
      </c>
      <c r="G10" s="906">
        <f>IF(ISNUMBER(Datos!I10),Datos!I10," - ")</f>
        <v>54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23</v>
      </c>
      <c r="AC10" s="905" t="str">
        <f>IF(ISNUMBER(IF(D_I="SI",DatosP!K18,DatosP!K18+DatosP!AE18)),IF(D_I="SI",DatosP!K18,DatosP!K18+DatosP!AE18)," - ")</f>
        <v xml:space="preserve"> - </v>
      </c>
      <c r="AD10" s="907"/>
      <c r="AE10" s="907"/>
      <c r="AF10" s="910">
        <f>IF(ISNUMBER(Datos!L10),Datos!L10,"-")</f>
        <v>52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6.7826086956521729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54</v>
      </c>
      <c r="G14" s="1256">
        <f t="shared" si="0"/>
        <v>54</v>
      </c>
      <c r="H14" s="1256">
        <f t="shared" si="0"/>
        <v>0</v>
      </c>
      <c r="I14" s="1258">
        <f t="shared" si="0"/>
        <v>0</v>
      </c>
      <c r="J14" s="1257">
        <f t="shared" si="0"/>
        <v>0</v>
      </c>
      <c r="K14" s="1257">
        <f t="shared" si="0"/>
        <v>0</v>
      </c>
      <c r="L14" s="1259">
        <f t="shared" si="0"/>
        <v>0</v>
      </c>
      <c r="M14" s="1259">
        <f t="shared" si="0"/>
        <v>0</v>
      </c>
      <c r="N14" s="1257">
        <f t="shared" si="0"/>
        <v>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23</v>
      </c>
      <c r="AC14" s="1257">
        <f t="shared" si="1"/>
        <v>0</v>
      </c>
      <c r="AD14" s="1257">
        <f t="shared" si="1"/>
        <v>0</v>
      </c>
      <c r="AE14" s="1257">
        <f t="shared" si="1"/>
        <v>0</v>
      </c>
      <c r="AF14" s="1257">
        <f t="shared" si="1"/>
        <v>52</v>
      </c>
      <c r="AG14" s="1257">
        <f t="shared" si="1"/>
        <v>0</v>
      </c>
      <c r="AH14" s="1257">
        <f t="shared" si="1"/>
        <v>30</v>
      </c>
      <c r="AI14" s="1257">
        <f t="shared" si="1"/>
        <v>0</v>
      </c>
      <c r="AJ14" s="1257">
        <f t="shared" si="1"/>
        <v>0</v>
      </c>
      <c r="AK14" s="1257">
        <f t="shared" si="1"/>
        <v>0</v>
      </c>
      <c r="AL14" s="1257">
        <f t="shared" si="1"/>
        <v>9</v>
      </c>
      <c r="AM14" s="1257">
        <f t="shared" si="1"/>
        <v>8</v>
      </c>
      <c r="AN14" s="1257">
        <f t="shared" si="1"/>
        <v>0</v>
      </c>
      <c r="AO14" s="1257">
        <f t="shared" si="1"/>
        <v>0</v>
      </c>
      <c r="AP14" s="1262">
        <f>IF(ISNUMBER(((Datos!L14/Datos!K14)*11)/factor_trimestre),((Datos!L14/Datos!K14)*11)/factor_trimestre," - ")</f>
        <v>7.1985111662531018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-0.42592592592592593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3.0789865871833086</v>
      </c>
      <c r="AQ23" s="1262">
        <f>IF(ISNUMBER(((Datos!M23/Datos!L23)*11)/factor_trimestre),((Datos!M23/Datos!L23)*11)/factor_trimestre," - ")</f>
        <v>0.53146176185866412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3.0395136778115502E-2</v>
      </c>
      <c r="AW23" s="1265">
        <f>IF(ISNUMBER((Datos!Q23-Datos!R23)/(Datos!S23-Datos!Q23+Datos!R23)),(Datos!Q23-Datos!R23)/(Datos!S23-Datos!Q23+Datos!R23)," - ")</f>
        <v>-9.8282061526168599E-2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54</v>
      </c>
      <c r="G31" s="1278">
        <f t="shared" si="8"/>
        <v>54</v>
      </c>
      <c r="H31" s="1278">
        <f t="shared" si="8"/>
        <v>0</v>
      </c>
      <c r="I31" s="1279">
        <f t="shared" si="8"/>
        <v>0</v>
      </c>
      <c r="J31" s="1280">
        <f t="shared" si="8"/>
        <v>0</v>
      </c>
      <c r="K31" s="1280">
        <f t="shared" si="8"/>
        <v>0</v>
      </c>
      <c r="L31" s="1280">
        <f t="shared" si="8"/>
        <v>0</v>
      </c>
      <c r="M31" s="1280">
        <f t="shared" si="8"/>
        <v>0</v>
      </c>
      <c r="N31" s="1279">
        <f t="shared" si="8"/>
        <v>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23</v>
      </c>
      <c r="AC31" s="1284">
        <f t="shared" si="9"/>
        <v>0</v>
      </c>
      <c r="AD31" s="1284">
        <f t="shared" si="9"/>
        <v>0</v>
      </c>
      <c r="AE31" s="1284">
        <f t="shared" si="9"/>
        <v>0</v>
      </c>
      <c r="AF31" s="1285">
        <f t="shared" si="9"/>
        <v>52</v>
      </c>
      <c r="AG31" s="1285">
        <f t="shared" si="9"/>
        <v>0</v>
      </c>
      <c r="AH31" s="1285">
        <f t="shared" si="9"/>
        <v>30</v>
      </c>
      <c r="AI31" s="1285">
        <f t="shared" si="9"/>
        <v>0</v>
      </c>
      <c r="AJ31" s="1286">
        <f t="shared" si="9"/>
        <v>0</v>
      </c>
      <c r="AK31" s="1286">
        <f t="shared" si="9"/>
        <v>0</v>
      </c>
      <c r="AL31" s="1278">
        <f t="shared" si="9"/>
        <v>9</v>
      </c>
      <c r="AM31" s="1278">
        <f t="shared" si="9"/>
        <v>8</v>
      </c>
      <c r="AN31" s="1278">
        <f t="shared" si="9"/>
        <v>0</v>
      </c>
      <c r="AO31" s="1278">
        <f t="shared" si="9"/>
        <v>0</v>
      </c>
      <c r="AP31" s="1278">
        <f>IF(ISNUMBER(((Datos!L31/Datos!K31)*11)/factor_trimestre),((Datos!L31/Datos!K31)*11)/factor_trimestre," - ")</f>
        <v>4.9108965517241376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-0.42592592592592593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-2.0009235031553025E-3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29.57701810527897</v>
      </c>
      <c r="G33" s="1007">
        <f>IF(ISNUMBER(STDEV(G8:G30)),STDEV(G8:G30),"-")</f>
        <v>29.57701810527897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12.59761882261882</v>
      </c>
      <c r="AC33" s="1008">
        <f>IF(ISNUMBER(STDEV(AC8:AC30)),STDEV(AC8:AC30),"-")</f>
        <v>0</v>
      </c>
      <c r="AD33" s="1011"/>
      <c r="AE33" s="1011"/>
      <c r="AF33" s="1011"/>
      <c r="AG33" s="1011"/>
      <c r="AH33" s="1011"/>
      <c r="AI33" s="1011"/>
      <c r="AJ33" s="1012">
        <f>IF(ISNUMBER(STDEV(AJ8:AJ30)),STDEV(AJ8:AJ30),"-")</f>
        <v>0</v>
      </c>
      <c r="AK33" s="1014"/>
      <c r="AL33" s="1006">
        <f>IF(ISNUMBER(STDEV(AL8:AL30)),STDEV(AL8:AL30),"-")</f>
        <v>4.6475800154489004</v>
      </c>
      <c r="AM33" s="1006"/>
      <c r="AN33" s="1006">
        <f>IF(ISNUMBER(STDEV(AN8:AN30)),STDEV(AN8:AN30),"-")</f>
        <v>0</v>
      </c>
      <c r="AO33" s="1012">
        <f>IF(ISNUMBER(STDEV(AO8:AO30)),STDEV(AO8:AO30),"-")</f>
        <v>0</v>
      </c>
      <c r="AP33" s="1065">
        <f>IF(ISNUMBER(STDEV(AP8:AP30)),STDEV(AP8:AP30),"-")</f>
        <v>2.2679019064968204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48BjFBJNP2yXCtRgP47bqZe2NXJYiSguj0sA1qoo6wLc4VoB3NBSz3MiGh9Xh0XIQcfWTtOwulYKMnOjRIuRag==" saltValue="KGkFgBGbsB5T7pnaOUue4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BENIDORM</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vC2XABnHhsUDNRL/ZWoUaD4Ou7MTUAdsi8UFbmzPP1d5uC5h8kSWnEokdbZbmUBDTLLuNHWOAIlS/aIuQWal0Q==" saltValue="NEbcSK3ZjlH1YeDr4B1S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BENIDORM</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385</v>
      </c>
      <c r="E9" s="452">
        <f t="shared" ref="E9:E14" si="0">IF(ISNUMBER(D9/B9),D9/B9," - ")</f>
        <v>77</v>
      </c>
      <c r="F9" s="451">
        <f>IF(ISNUMBER(Datos!N9),Datos!N9," - ")</f>
        <v>725</v>
      </c>
      <c r="G9" s="452">
        <f t="shared" ref="G9:G14" si="1">IF(ISNUMBER(F9/B9),F9/B9," - ")</f>
        <v>145</v>
      </c>
      <c r="H9" s="451">
        <f>IF(ISNUMBER(Datos!O9),Datos!O9," - ")</f>
        <v>990</v>
      </c>
      <c r="I9" s="452">
        <f>IF(ISNUMBER(H9/B9),H9/B9," - ")</f>
        <v>198</v>
      </c>
    </row>
    <row r="10" spans="1:9">
      <c r="A10" s="450" t="str">
        <f>Datos!A10</f>
        <v>Jdos. Violencia contra la mujer</v>
      </c>
      <c r="B10" s="480">
        <f>Datos!AO10</f>
        <v>1</v>
      </c>
      <c r="C10" s="458">
        <f>Datos!AQ10</f>
        <v>1</v>
      </c>
      <c r="D10" s="451">
        <f>IF(ISNUMBER(Datos!M10),Datos!M10," - ")</f>
        <v>9</v>
      </c>
      <c r="E10" s="452">
        <f>IF(ISNUMBER(D10/B10),D10/B10," - ")</f>
        <v>9</v>
      </c>
      <c r="F10" s="451">
        <f>IF(ISNUMBER(Datos!N10),Datos!N10," - ")</f>
        <v>8</v>
      </c>
      <c r="G10" s="452">
        <f>IF(ISNUMBER(F10/B10),F10/B10," - ")</f>
        <v>8</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394</v>
      </c>
      <c r="E14" s="1147">
        <f t="shared" si="0"/>
        <v>65.666666666666671</v>
      </c>
      <c r="F14" s="1146">
        <f>SUBTOTAL(9,F9:F13)</f>
        <v>733</v>
      </c>
      <c r="G14" s="1147">
        <f t="shared" si="1"/>
        <v>122.16666666666667</v>
      </c>
      <c r="H14" s="1146">
        <f>SUBTOTAL(9,H9:H13)</f>
        <v>994</v>
      </c>
      <c r="I14" s="1147">
        <f>IF(ISNUMBER(H14/B14),H14/B14," - ")</f>
        <v>165.66666666666666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319</v>
      </c>
      <c r="E16" s="452">
        <f t="shared" ref="E16:E23" si="3">IF(ISNUMBER(D16/B16),D16/B16," - ")</f>
        <v>79.75</v>
      </c>
      <c r="F16" s="451">
        <f>IF(ISNUMBER(Datos!N16),Datos!N16," - ")</f>
        <v>973</v>
      </c>
      <c r="G16" s="452">
        <f t="shared" ref="G16:G23" si="4">IF(ISNUMBER(F16/B16),F16/B16," - ")</f>
        <v>243.25</v>
      </c>
      <c r="H16" s="451">
        <f>IF(ISNUMBER(Datos!O16),Datos!O16," - ")</f>
        <v>65</v>
      </c>
      <c r="I16" s="452">
        <f t="shared" ref="I16:I22" si="5">IF(ISNUMBER(H16/B16),H16/B16," - ")</f>
        <v>16.25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47</v>
      </c>
      <c r="E18" s="452">
        <f>IF(ISNUMBER(D18/B18),D18/B18," - ")</f>
        <v>47</v>
      </c>
      <c r="F18" s="451">
        <f>IF(ISNUMBER(Datos!N18),Datos!N18," - ")</f>
        <v>109</v>
      </c>
      <c r="G18" s="452">
        <f>IF(ISNUMBER(F18/B18),F18/B18," - ")</f>
        <v>109</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366</v>
      </c>
      <c r="E23" s="1147">
        <f t="shared" si="3"/>
        <v>73.2</v>
      </c>
      <c r="F23" s="1146">
        <f>SUBTOTAL(9,F16:F22)</f>
        <v>1082</v>
      </c>
      <c r="G23" s="1147">
        <f t="shared" si="4"/>
        <v>216.4</v>
      </c>
      <c r="H23" s="1146">
        <f>SUBTOTAL(9,H16:H22)</f>
        <v>68</v>
      </c>
      <c r="I23" s="1147">
        <f>IF(ISNUMBER(H23/B23),H23/B23," - ")</f>
        <v>13.6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760</v>
      </c>
      <c r="E31" s="1085">
        <f>IF(ISNUMBER(D31/B31),D31/B31," - ")</f>
        <v>76</v>
      </c>
      <c r="F31" s="1084">
        <f>SUBTOTAL(9,F8:F30)</f>
        <v>1815</v>
      </c>
      <c r="G31" s="1085">
        <f>IF(ISNUMBER(F31/B31),F31/B31," - ")</f>
        <v>181.5</v>
      </c>
      <c r="H31" s="1084">
        <f>SUBTOTAL(9,H8:H30)</f>
        <v>1062</v>
      </c>
      <c r="I31" s="1085">
        <f>IF(ISNUMBER(H31/B31),H31/B31," - ")</f>
        <v>106.2</v>
      </c>
    </row>
    <row r="34" spans="1:1">
      <c r="A34" s="439" t="str">
        <f>Criterios!A4</f>
        <v>Fecha Informe: 05 may. 2023</v>
      </c>
    </row>
    <row r="39" spans="1:1">
      <c r="A39" s="462"/>
    </row>
  </sheetData>
  <sheetProtection algorithmName="SHA-512" hashValue="BQ2BHInoa8/66gYhDOE6oL34l5TFZs2pSf1Gw19Af1uD/dI1Apy+qemdF9qnl6aPumlx71spDTMJ+A4g73oWYg==" saltValue="CrPTIL4vE+gla1aoeiog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BENIDORM</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515</v>
      </c>
      <c r="C9" s="489">
        <f>IF(ISNUMBER(Datos!Q9),Datos!Q9," - ")</f>
        <v>539</v>
      </c>
      <c r="D9" s="456">
        <f>IF(ISNUMBER(Datos!R9),Datos!R9," - ")</f>
        <v>6077</v>
      </c>
    </row>
    <row r="10" spans="1:4">
      <c r="A10" s="450" t="str">
        <f>Datos!A10</f>
        <v>Jdos. Violencia contra la mujer</v>
      </c>
      <c r="B10" s="488">
        <f>IF(ISNUMBER(Datos!P10),Datos!P10," - ")</f>
        <v>4</v>
      </c>
      <c r="C10" s="489">
        <f>IF(ISNUMBER(Datos!Q10),Datos!Q10," - ")</f>
        <v>3</v>
      </c>
      <c r="D10" s="456">
        <f>IF(ISNUMBER(Datos!R10),Datos!R10," - ")</f>
        <v>38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0</v>
      </c>
      <c r="D12" s="456">
        <f>IF(ISNUMBER(Datos!R12),Datos!R12," - ")</f>
        <v>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519</v>
      </c>
      <c r="C14" s="1150">
        <f>SUBTOTAL(9,C9:C13)</f>
        <v>542</v>
      </c>
      <c r="D14" s="1148">
        <f>SUBTOTAL(9,D9:D13)</f>
        <v>6145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101</v>
      </c>
      <c r="C16" s="489">
        <f>IF(ISNUMBER(Datos!Q16),Datos!Q16," - ")</f>
        <v>90</v>
      </c>
      <c r="D16" s="456">
        <f>IF(ISNUMBER(Datos!R16),Datos!R16," - ")</f>
        <v>336</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2</v>
      </c>
      <c r="C18" s="489">
        <f>IF(ISNUMBER(Datos!Q18),Datos!Q18," - ")</f>
        <v>3</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103</v>
      </c>
      <c r="C23" s="1150">
        <f>SUBTOTAL(9,C16:C22)</f>
        <v>93</v>
      </c>
      <c r="D23" s="1148">
        <f>SUBTOTAL(9,D16:D22)</f>
        <v>339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622</v>
      </c>
      <c r="C31" s="1089">
        <f>SUBTOTAL(9,C8:C30)</f>
        <v>635</v>
      </c>
      <c r="D31" s="1090">
        <f>SUBTOTAL(9,D8:D30)</f>
        <v>6484</v>
      </c>
    </row>
    <row r="32" spans="1:4" ht="7.5" customHeight="1"/>
    <row r="33" spans="1:1" ht="6" customHeight="1"/>
    <row r="34" spans="1:1">
      <c r="A34" s="439" t="str">
        <f>Criterios!A4</f>
        <v>Fecha Informe: 05 may. 2023</v>
      </c>
    </row>
    <row r="39" spans="1:1">
      <c r="A39" s="462"/>
    </row>
  </sheetData>
  <sheetProtection algorithmName="SHA-512" hashValue="B9Abi4x94Y8PKQ0N/G/BbAYhrhtciSroi7X07iqeXHYK0/kCzCrKZS0MCvMrGHBFjB4tk3H+pGrXZgnq5meWyA==" saltValue="13gDRKnsDsrK6gGYbTpK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BENIDORM</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-5.0533265617064498E-2</v>
      </c>
      <c r="C9" s="515">
        <f>IF(ISNUMBER(
   IF(J_V="SI",(Datos!J9-Datos!T9)/Datos!T9,(Datos!J9+Datos!Z9-(Datos!T9+Datos!AH9))/(Datos!T9+Datos!AH9))
     ),IF(J_V="SI",(Datos!J9-Datos!T9)/Datos!T9,(Datos!J9+Datos!Z9-(Datos!T9+Datos!AH9))/(Datos!T9+Datos!AH9))," - ")</f>
        <v>0.15948021264028353</v>
      </c>
      <c r="D9" s="515">
        <f>IF(ISNUMBER(
   IF(J_V="SI",(Datos!K9-Datos!U9)/Datos!U9,(Datos!K9+Datos!AA9-(Datos!U9+Datos!AI9))/(Datos!U9+Datos!AI9))
     ),IF(J_V="SI",(Datos!K9-Datos!U9)/Datos!U9,(Datos!K9+Datos!AA9-(Datos!U9+Datos!AI9))/(Datos!U9+Datos!AI9))," - ")</f>
        <v>-0.14623338257016247</v>
      </c>
      <c r="E9" s="515">
        <f>IF(ISNUMBER(
   IF(J_V="SI",(Datos!L9-Datos!V9)/Datos!V9,(Datos!L9+Datos!AB9-(Datos!V9+Datos!AJ9))/(Datos!V9+Datos!AJ9))
     ),IF(J_V="SI",(Datos!L9-Datos!V9)/Datos!V9,(Datos!L9+Datos!AB9-(Datos!V9+Datos!AJ9))/(Datos!V9+Datos!AJ9))," - ")</f>
        <v>0.10069348127600555</v>
      </c>
      <c r="F9" s="515">
        <f>IF(ISNUMBER((Datos!M9-Datos!W9)/Datos!W9),(Datos!M9-Datos!W9)/Datos!W9," - ")</f>
        <v>-0.17381974248927037</v>
      </c>
      <c r="G9" s="516">
        <f>IF(ISNUMBER((Datos!N9-Datos!X9)/Datos!X9),(Datos!N9-Datos!X9)/Datos!X9," - ")</f>
        <v>-7.5255102040816327E-2</v>
      </c>
      <c r="H9" s="514">
        <f>IF(ISNUMBER(((NºAsuntos!G9/NºAsuntos!E9)-Datos!BD9)/Datos!BD9),((NºAsuntos!G9/NºAsuntos!E9)-Datos!BD9)/Datos!BD9," - ")</f>
        <v>-0.26366434879841316</v>
      </c>
      <c r="I9" s="515">
        <f>IF(ISNUMBER(((NºAsuntos!I9/NºAsuntos!G9)-Datos!BE9)/Datos!BE9),((NºAsuntos!I9/NºAsuntos!G9)-Datos!BE9)/Datos!BE9," - ")</f>
        <v>0.28922056543919694</v>
      </c>
      <c r="J9" s="521">
        <f>IF(ISNUMBER((('Resol  Asuntos'!D9/NºAsuntos!G9)-Datos!BF9)/Datos!BF9),(('Resol  Asuntos'!D9/NºAsuntos!G9)-Datos!BF9)/Datos!BF9," - ")</f>
        <v>-0.42481772120612948</v>
      </c>
      <c r="K9" s="522">
        <f>IF(ISNUMBER((((NºAsuntos!C9+NºAsuntos!E9)/NºAsuntos!G9)-Datos!BG9)/Datos!BG9),(((NºAsuntos!C9+NºAsuntos!E9)/NºAsuntos!G9)-Datos!BG9)/Datos!BG9," - ")</f>
        <v>0.18604868378765843</v>
      </c>
    </row>
    <row r="10" spans="1:11">
      <c r="A10" s="450" t="str">
        <f>Datos!A10</f>
        <v>Jdos. Violencia contra la mujer</v>
      </c>
      <c r="B10" s="514">
        <f>IF(ISNUMBER((Datos!I10-Datos!S10)/Datos!S10),(Datos!I10-Datos!S10)/Datos!S10," - ")</f>
        <v>0.10204081632653061</v>
      </c>
      <c r="C10" s="515">
        <f>IF(ISNUMBER((Datos!J10-Datos!T10)/Datos!T10),(Datos!J10-Datos!T10)/Datos!T10," - ")</f>
        <v>0.05</v>
      </c>
      <c r="D10" s="515">
        <f>IF(ISNUMBER((Datos!K10-Datos!U10)/Datos!U10),(Datos!K10-Datos!U10)/Datos!U10," - ")</f>
        <v>-0.08</v>
      </c>
      <c r="E10" s="515">
        <f>IF(ISNUMBER((Datos!L10-Datos!V10)/Datos!V10),(Datos!L10-Datos!V10)/Datos!V10," - ")</f>
        <v>0.18181818181818182</v>
      </c>
      <c r="F10" s="515">
        <f>IF(ISNUMBER((Datos!M10-Datos!W10)/Datos!W10),(Datos!M10-Datos!W10)/Datos!W10," - ")</f>
        <v>0</v>
      </c>
      <c r="G10" s="516">
        <f>IF(ISNUMBER((Datos!N10-Datos!X10)/Datos!X10),(Datos!N10-Datos!X10)/Datos!X10," - ")</f>
        <v>1.6666666666666667</v>
      </c>
      <c r="H10" s="514">
        <f>IF(ISNUMBER(((NºAsuntos!G10/NºAsuntos!E10)-Datos!BD10)/Datos!BD10),((NºAsuntos!G10/NºAsuntos!E10)-Datos!BD10)/Datos!BD10," - ")</f>
        <v>-0.12380952380952373</v>
      </c>
      <c r="I10" s="515">
        <f>IF(ISNUMBER(((NºAsuntos!I10/NºAsuntos!G10)-Datos!BE10)/Datos!BE10),((NºAsuntos!I10/NºAsuntos!G10)-Datos!BE10)/Datos!BE10," - ")</f>
        <v>0.28458498023715406</v>
      </c>
      <c r="J10" s="521">
        <f>IF(ISNUMBER((('Resol  Asuntos'!D10/NºAsuntos!G10)-Datos!BF10)/Datos!BF10),(('Resol  Asuntos'!D10/NºAsuntos!G10)-Datos!BF10)/Datos!BF10," - ")</f>
        <v>8.6956521739130516E-2</v>
      </c>
      <c r="K10" s="522">
        <f>IF(ISNUMBER((((NºAsuntos!C10+NºAsuntos!E10)/NºAsuntos!G10)-Datos!BG10)/Datos!BG10),(((NºAsuntos!C10+NºAsuntos!E10)/NºAsuntos!G10)-Datos!BG10)/Datos!BG10," - ")</f>
        <v>0.18147448015122877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-0.6</v>
      </c>
      <c r="C12" s="515" t="str">
        <f>IF(ISNUMBER(
   IF(J_V="SI",(Datos!J12-Datos!T12)/Datos!T12,(Datos!J12+Datos!Z12-(Datos!T12+Datos!AH12))/(Datos!T12+Datos!AH12))
     ),IF(J_V="SI",(Datos!J12-Datos!T12)/Datos!T12,(Datos!J12+Datos!Z12-(Datos!T12+Datos!AH12))/(Datos!T12+Datos!AH12))," - ")</f>
        <v xml:space="preserve"> - </v>
      </c>
      <c r="D12" s="515">
        <f>IF(ISNUMBER(
   IF(J_V="SI",(Datos!K12-Datos!U12)/Datos!U12,(Datos!K12+Datos!AA12-(Datos!U12+Datos!AI12))/(Datos!U12+Datos!AI12))
     ),IF(J_V="SI",(Datos!K12-Datos!U12)/Datos!U12,(Datos!K12+Datos!AA12-(Datos!U12+Datos!AI12))/(Datos!U12+Datos!AI12))," - ")</f>
        <v>-1</v>
      </c>
      <c r="E12" s="515">
        <f>IF(ISNUMBER(
   IF(J_V="SI",(Datos!L12-Datos!V12)/Datos!V12,(Datos!L12+Datos!AB12-(Datos!V12+Datos!AJ12))/(Datos!V12+Datos!AJ12))
     ),IF(J_V="SI",(Datos!L12-Datos!V12)/Datos!V12,(Datos!L12+Datos!AB12-(Datos!V12+Datos!AJ12))/(Datos!V12+Datos!AJ12))," - ")</f>
        <v>-0.33333333333333331</v>
      </c>
      <c r="F12" s="515">
        <f>IF(ISNUMBER((Datos!M12-Datos!W12)/Datos!W12),(Datos!M12-Datos!W12)/Datos!W12," - ")</f>
        <v>-1</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-4.934869739478958E-2</v>
      </c>
      <c r="C14" s="1152">
        <f>IF(ISNUMBER(
   IF(J_V="SI",(Datos!J14-Datos!T14)/Datos!T14,(Datos!J14+Datos!Z14-(Datos!T14+Datos!AH14))/(Datos!T14+Datos!AH14))
     ),IF(J_V="SI",(Datos!J14-Datos!T14)/Datos!T14,(Datos!J14+Datos!Z14-(Datos!T14+Datos!AH14))/(Datos!T14+Datos!AH14))," - ")</f>
        <v>0.1582019848219498</v>
      </c>
      <c r="D14" s="1152">
        <f>IF(ISNUMBER(
   IF(J_V="SI",(Datos!K14-Datos!U14)/Datos!U14,(Datos!K14+Datos!AA14-(Datos!U14+Datos!AI14))/(Datos!U14+Datos!AI14))
     ),IF(J_V="SI",(Datos!K14-Datos!U14)/Datos!U14,(Datos!K14+Datos!AA14-(Datos!U14+Datos!AI14))/(Datos!U14+Datos!AI14))," - ")</f>
        <v>-0.14625850340136054</v>
      </c>
      <c r="E14" s="1152">
        <f>IF(ISNUMBER(
   IF(J_V="SI",(Datos!L14-Datos!V14)/Datos!V14,(Datos!L14+Datos!AB14-(Datos!V14+Datos!AJ14))/(Datos!V14+Datos!AJ14))
     ),IF(J_V="SI",(Datos!L14-Datos!V14)/Datos!V14,(Datos!L14+Datos!AB14-(Datos!V14+Datos!AJ14))/(Datos!V14+Datos!AJ14))," - ")</f>
        <v>0.10131434830230011</v>
      </c>
      <c r="F14" s="1153">
        <f>IF(ISNUMBER((Datos!M14-Datos!W14)/Datos!W14),(Datos!M14-Datos!W14)/Datos!W14," - ")</f>
        <v>-0.17400419287211741</v>
      </c>
      <c r="G14" s="1154">
        <f>IF(ISNUMBER((Datos!N14-Datos!X14)/Datos!X14),(Datos!N14-Datos!X14)/Datos!X14," - ")</f>
        <v>-6.8614993646759853E-2</v>
      </c>
      <c r="H14" s="1154">
        <f>IF(ISNUMBER(((NºAsuntos!G14/NºAsuntos!E14)-Datos!BD14)/Datos!BD14),((NºAsuntos!G14/NºAsuntos!E14)-Datos!BD14)/Datos!BD14," - ")</f>
        <v>-0.26287339532587223</v>
      </c>
      <c r="I14" s="1154">
        <f>IF(ISNUMBER(((NºAsuntos!I14/NºAsuntos!G14)-Datos!BE14)/Datos!BE14),((NºAsuntos!I14/NºAsuntos!G14)-Datos!BE14)/Datos!BE14," - ")</f>
        <v>0.28998573068078182</v>
      </c>
      <c r="J14" s="1154">
        <f>IF(ISNUMBER((('Resol  Asuntos'!D14/NºAsuntos!G14)-Datos!BF14)/Datos!BF14),(('Resol  Asuntos'!D14/NºAsuntos!G14)-Datos!BF14)/Datos!BF14," - ")</f>
        <v>-0.4180352989052617</v>
      </c>
      <c r="K14" s="1154">
        <f>IF(ISNUMBER((((NºAsuntos!C14+NºAsuntos!E14)/NºAsuntos!G14)-Datos!BG14)/Datos!BG14),(((NºAsuntos!C14+NºAsuntos!E14)/NºAsuntos!G14)-Datos!BG14)/Datos!BG14," - ")</f>
        <v>0.18650795590643565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-4.1549953314659195E-2</v>
      </c>
      <c r="C16" s="515">
        <f>IF(ISNUMBER(
   IF(D_I="SI",(Datos!J16-Datos!T16)/Datos!T16,(Datos!J16+Datos!AD16-(Datos!T16+Datos!AL16))/(Datos!T16+Datos!AL16))
     ),IF(D_I="SI",(Datos!J16-Datos!T16)/Datos!T16,(Datos!J16+Datos!AD16-(Datos!T16+Datos!AL16))/(Datos!T16+Datos!AL16))," - ")</f>
        <v>-3.0120481927710845E-3</v>
      </c>
      <c r="D16" s="515">
        <f>IF(ISNUMBER(
   IF(D_I="SI",(Datos!K16-Datos!U16)/Datos!U16,(Datos!K16+Datos!AE16-(Datos!U16+Datos!AM16))/(Datos!U16+Datos!AM16))
     ),IF(D_I="SI",(Datos!K16-Datos!U16)/Datos!U16,(Datos!K16+Datos!AE16-(Datos!U16+Datos!AM16))/(Datos!U16+Datos!AM16))," - ")</f>
        <v>3.9570378745053701E-3</v>
      </c>
      <c r="E16" s="515">
        <f>IF(ISNUMBER(
   IF(D_I="SI",(Datos!L16-Datos!V16)/Datos!V16,(Datos!L16+Datos!AF16-(Datos!V16+Datos!AN16))/(Datos!V16+Datos!AN16))
     ),IF(D_I="SI",(Datos!L16-Datos!V16)/Datos!V16,(Datos!L16+Datos!AF16-(Datos!V16+Datos!AN16))/(Datos!V16+Datos!AN16))," - ")</f>
        <v>-2.8727092620108963E-2</v>
      </c>
      <c r="F16" s="515">
        <f>IF(ISNUMBER((Datos!M16-Datos!W16)/Datos!W16),(Datos!M16-Datos!W16)/Datos!W16," - ")</f>
        <v>-0.1424731182795699</v>
      </c>
      <c r="G16" s="516">
        <f>IF(ISNUMBER((Datos!N16-Datos!X16)/Datos!X16),(Datos!N16-Datos!X16)/Datos!X16," - ")</f>
        <v>0.20869565217391303</v>
      </c>
      <c r="H16" s="514">
        <f>IF(ISNUMBER(((NºAsuntos!G16/NºAsuntos!E16)-Datos!BD16)/Datos!BD16),((NºAsuntos!G16/NºAsuntos!E16)-Datos!BD16)/Datos!BD16," - ")</f>
        <v>6.9901407079630239E-3</v>
      </c>
      <c r="I16" s="515">
        <f>IF(ISNUMBER(((NºAsuntos!I16/NºAsuntos!G16)-Datos!BE16)/Datos!BE16),((NºAsuntos!I16/NºAsuntos!G16)-Datos!BE16)/Datos!BE16," - ")</f>
        <v>-3.2555307908205232E-2</v>
      </c>
      <c r="J16" s="521">
        <f>IF(ISNUMBER((('Resol  Asuntos'!D16/NºAsuntos!G16)-Datos!BF16)/Datos!BF16),(('Resol  Asuntos'!D16/NºAsuntos!G16)-Datos!BF16)/Datos!BF16," - ")</f>
        <v>-0.14585301026833289</v>
      </c>
      <c r="K16" s="522">
        <f>IF(ISNUMBER((((NºAsuntos!C16+NºAsuntos!E16)/NºAsuntos!G16)-Datos!BG16)/Datos!BG16),(((NºAsuntos!C16+NºAsuntos!E16)/NºAsuntos!G16)-Datos!BG16)/Datos!BG16," - ")</f>
        <v>-2.8567823478397005E-2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-9.7345132743362831E-2</v>
      </c>
      <c r="C18" s="515">
        <f>IF(ISNUMBER(
   IF(D_I="SI",(Datos!J18-Datos!T18)/Datos!T18,(Datos!J18+Datos!AD18-(Datos!T18+Datos!AL18))/(Datos!T18+Datos!AL18))
     ),IF(D_I="SI",(Datos!J18-Datos!T18)/Datos!T18,(Datos!J18+Datos!AD18-(Datos!T18+Datos!AL18))/(Datos!T18+Datos!AL18))," - ")</f>
        <v>0.34659090909090912</v>
      </c>
      <c r="D18" s="515">
        <f>IF(ISNUMBER(
   IF(D_I="SI",(Datos!K18-Datos!U18)/Datos!U18,(Datos!K18+Datos!AE18-(Datos!U18+Datos!AM18))/(Datos!U18+Datos!AM18))
     ),IF(D_I="SI",(Datos!K18-Datos!U18)/Datos!U18,(Datos!K18+Datos!AE18-(Datos!U18+Datos!AM18))/(Datos!U18+Datos!AM18))," - ")</f>
        <v>0.234375</v>
      </c>
      <c r="E18" s="515">
        <f>IF(ISNUMBER(
   IF(D_I="SI",(Datos!L18-Datos!V18)/Datos!V18,(Datos!L18+Datos!AF18-(Datos!V18+Datos!AN18))/(Datos!V18+Datos!AN18))
     ),IF(D_I="SI",(Datos!L18-Datos!V18)/Datos!V18,(Datos!L18+Datos!AF18-(Datos!V18+Datos!AN18))/(Datos!V18+Datos!AN18))," - ")</f>
        <v>6.1855670103092786E-2</v>
      </c>
      <c r="F18" s="515">
        <f>IF(ISNUMBER((Datos!M18-Datos!W18)/Datos!W18),(Datos!M18-Datos!W18)/Datos!W18," - ")</f>
        <v>1.0434782608695652</v>
      </c>
      <c r="G18" s="516">
        <f>IF(ISNUMBER((Datos!N18-Datos!X18)/Datos!X18),(Datos!N18-Datos!X18)/Datos!X18," - ")</f>
        <v>0</v>
      </c>
      <c r="H18" s="514">
        <f>IF(ISNUMBER(((NºAsuntos!G18/NºAsuntos!E18)-Datos!BD18)/Datos!BD18),((NºAsuntos!G18/NºAsuntos!E18)-Datos!BD18)/Datos!BD18," - ")</f>
        <v>-8.3333333333333259E-2</v>
      </c>
      <c r="I18" s="515">
        <f>IF(ISNUMBER(((NºAsuntos!I18/NºAsuntos!G18)-Datos!BE18)/Datos!BE18),((NºAsuntos!I18/NºAsuntos!G18)-Datos!BE18)/Datos!BE18," - ")</f>
        <v>-0.13976249510635524</v>
      </c>
      <c r="J18" s="521">
        <f>IF(ISNUMBER((('Resol  Asuntos'!D18/NºAsuntos!G18)-Datos!BF18)/Datos!BF18),(('Resol  Asuntos'!D18/NºAsuntos!G18)-Datos!BF18)/Datos!BF18," - ")</f>
        <v>0.65547605943863496</v>
      </c>
      <c r="K18" s="522">
        <f>IF(ISNUMBER((((NºAsuntos!C18+NºAsuntos!E18)/NºAsuntos!G18)-Datos!BG18)/Datos!BG18),(((NºAsuntos!C18+NºAsuntos!E18)/NºAsuntos!G18)-Datos!BG18)/Datos!BG18," - ")</f>
        <v>-4.9713109368840519E-2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-4.4306601683650866E-2</v>
      </c>
      <c r="C23" s="1152">
        <f>IF(ISNUMBER(
   IF(Criterios!B14="SI",(Datos!J23-Datos!T23)/Datos!T23,(Datos!J23+Datos!AD23-(Datos!T23+Datos!AL23))/(Datos!T23+Datos!AL23))
     ),IF(Criterios!B14="SI",(Datos!J23-Datos!T23)/Datos!T23,(Datos!J23+Datos!AD23-(Datos!T23+Datos!AL23))/(Datos!T23+Datos!AL23))," - ")</f>
        <v>3.0501089324618737E-2</v>
      </c>
      <c r="D23" s="1152">
        <f>IF(ISNUMBER(
   IF(Criterios!B14="SI",(Datos!K23-Datos!U23)/Datos!U23,(Datos!K23+Datos!AE23-(Datos!U23+Datos!AM23))/(Datos!U23+Datos!AM23))
     ),IF(Criterios!B14="SI",(Datos!K23-Datos!U23)/Datos!U23,(Datos!K23+Datos!AE23-(Datos!U23+Datos!AM23))/(Datos!U23+Datos!AM23))," - ")</f>
        <v>2.6517083120856707E-2</v>
      </c>
      <c r="E23" s="1152">
        <f>IF(ISNUMBER(
   IF(Criterios!B14="SI",(Datos!L23-Datos!V23)/Datos!V23,(Datos!L23+Datos!AF23-(Datos!V23+Datos!AN23))/(Datos!V23+Datos!AN23))
     ),IF(Criterios!B14="SI",(Datos!L23-Datos!V23)/Datos!V23,(Datos!L23+Datos!AF23-(Datos!V23+Datos!AN23))/(Datos!V23+Datos!AN23))," - ")</f>
        <v>-2.4551463644948063E-2</v>
      </c>
      <c r="F23" s="1153">
        <f>IF(ISNUMBER((Datos!M23-Datos!W23)/Datos!W23),(Datos!M23-Datos!W23)/Datos!W23," - ")</f>
        <v>-7.3417721518987344E-2</v>
      </c>
      <c r="G23" s="1154">
        <f>IF(ISNUMBER((Datos!N23-Datos!X23)/Datos!X23),(Datos!N23-Datos!X23)/Datos!X23," - ")</f>
        <v>0.1838074398249453</v>
      </c>
      <c r="H23" s="1154">
        <f>IF(ISNUMBER(((NºAsuntos!G23/NºAsuntos!E23)-Datos!BD23)/Datos!BD23),((NºAsuntos!G23/NºAsuntos!E23)-Datos!BD23)/Datos!BD23," - ")</f>
        <v>-3.866086358407704E-3</v>
      </c>
      <c r="I23" s="1154">
        <f>IF(ISNUMBER(((NºAsuntos!I23/NºAsuntos!G23)-Datos!BE23)/Datos!BE23),((NºAsuntos!I23/NºAsuntos!G23)-Datos!BE23)/Datos!BE23," - ")</f>
        <v>-4.9749339397785981E-2</v>
      </c>
      <c r="J23" s="1154">
        <f>IF(ISNUMBER((('Resol  Asuntos'!D23/NºAsuntos!G23)-Datos!BF23)/Datos!BF23),(('Resol  Asuntos'!D23/NºAsuntos!G23)-Datos!BF23)/Datos!BF23," - ")</f>
        <v>-9.7353279631760575E-2</v>
      </c>
      <c r="K23" s="1154">
        <f>IF(ISNUMBER((((NºAsuntos!C23+NºAsuntos!E23)/NºAsuntos!G23)-Datos!BG23)/Datos!BG23),(((NºAsuntos!C23+NºAsuntos!E23)/NºAsuntos!G23)-Datos!BG23)/Datos!BG23," - ")</f>
        <v>-3.6304455925319973E-2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-4.752760441670667E-2</v>
      </c>
      <c r="C31" s="1092">
        <f>IF(ISNUMBER(
   IF(J_V="SI",(Datos!J31-Datos!T31)/Datos!T31,(Datos!J31+Datos!Z31-(Datos!T31+Datos!AH31))/(Datos!T31+Datos!AH31))
     ),IF(J_V="SI",(Datos!J31-Datos!T31)/Datos!T31,(Datos!J31+Datos!Z31-(Datos!T31+Datos!AH31))/(Datos!T31+Datos!AH31))," - ")</f>
        <v>9.2138630600169066E-2</v>
      </c>
      <c r="D31" s="1092">
        <f>IF(ISNUMBER(
   IF(J_V="SI",(Datos!K31-Datos!U31)/Datos!U31,(Datos!K31+Datos!AA31-(Datos!U31+Datos!AI31))/(Datos!U31+Datos!AI31))
     ),IF(J_V="SI",(Datos!K31-Datos!U31)/Datos!U31,(Datos!K31+Datos!AA31-(Datos!U31+Datos!AI31))/(Datos!U31+Datos!AI31))," - ")</f>
        <v>-6.1955710375715352E-2</v>
      </c>
      <c r="E31" s="1092">
        <f>IF(ISNUMBER(
   IF(J_V="SI",(Datos!L31-Datos!V31)/Datos!V31,(Datos!L31+Datos!AB31-(Datos!V31+Datos!AJ31))/(Datos!V31+Datos!AJ31))
     ),IF(J_V="SI",(Datos!L31-Datos!V31)/Datos!V31,(Datos!L31+Datos!AB31-(Datos!V31+Datos!AJ31))/(Datos!V31+Datos!AJ31))," - ")</f>
        <v>5.5112651646447137E-2</v>
      </c>
      <c r="F31" s="1093">
        <f>IF(ISNUMBER((Datos!M31-Datos!W31)/Datos!W31),(Datos!M31-Datos!W31)/Datos!W31," - ")</f>
        <v>-0.12844036697247707</v>
      </c>
      <c r="G31" s="1094">
        <f>IF(ISNUMBER((Datos!N31-Datos!X31)/Datos!X31),(Datos!N31-Datos!X31)/Datos!X31," - ")</f>
        <v>6.7019400352733682E-2</v>
      </c>
      <c r="H31" s="1095">
        <f>IF(ISNUMBER((Tasas!B31-Datos!BD31)/Datos!BD31),(Tasas!B31-Datos!BD31)/Datos!BD31," - ")</f>
        <v>-0.14109412180686634</v>
      </c>
      <c r="I31" s="1096">
        <f>IF(ISNUMBER((Tasas!C31-Datos!BE31)/Datos!BE31),(Tasas!C31-Datos!BE31)/Datos!BE31," - ")</f>
        <v>0.12480046338649085</v>
      </c>
      <c r="J31" s="1097">
        <f>IF(ISNUMBER((Tasas!D31-Datos!BF31)/Datos!BF31),(Tasas!D31-Datos!BF31)/Datos!BF31," - ")</f>
        <v>-0.31801659387866277</v>
      </c>
      <c r="K31" s="1097">
        <f>IF(ISNUMBER((Tasas!E31-Datos!BG31)/Datos!BG31),(Tasas!E31-Datos!BG31)/Datos!BG31," - ")</f>
        <v>6.9311822961758529E-2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4zv/HZVHcx9fqHyNCWKD8D8qHN/8xHu0Pn7tUO0UfdxwXYJs8N7QLvQeIAmNaNvNx3mfd6fZVwIYef/jxefkQ==" saltValue="Snq13+DyZ5crxMFpxiK25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BENIDORM</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0.88334182373917469</v>
      </c>
      <c r="C9" s="498">
        <f>IF(ISNUMBER(NºAsuntos!I9/NºAsuntos!G9),NºAsuntos!I9/NºAsuntos!G9," - ")</f>
        <v>2.2883506343713957</v>
      </c>
      <c r="D9" s="499">
        <f>IF(ISNUMBER('Resol  Asuntos'!D9/NºAsuntos!G9),'Resol  Asuntos'!D9/NºAsuntos!G9," - ")</f>
        <v>0.22202998846597463</v>
      </c>
      <c r="E9" s="500">
        <f>IF(ISNUMBER((NºAsuntos!C9+NºAsuntos!E9)/NºAsuntos!G9),(NºAsuntos!C9+NºAsuntos!E9)/NºAsuntos!G9," - ")</f>
        <v>3.2883506343713957</v>
      </c>
      <c r="G9" s="523"/>
    </row>
    <row r="10" spans="1:7">
      <c r="A10" s="450" t="str">
        <f>Datos!A10</f>
        <v>Jdos. Violencia contra la mujer</v>
      </c>
      <c r="B10" s="497">
        <f>IF(ISNUMBER(NºAsuntos!G10/NºAsuntos!E10),NºAsuntos!G10/NºAsuntos!E10," - ")</f>
        <v>1.0952380952380953</v>
      </c>
      <c r="C10" s="498">
        <f>IF(ISNUMBER(NºAsuntos!I10/NºAsuntos!G10),NºAsuntos!I10/NºAsuntos!G10," - ")</f>
        <v>2.2608695652173911</v>
      </c>
      <c r="D10" s="499">
        <f>IF(ISNUMBER('Resol  Asuntos'!D10/NºAsuntos!G10),'Resol  Asuntos'!D10/NºAsuntos!G10," - ")</f>
        <v>0.39130434782608697</v>
      </c>
      <c r="E10" s="500">
        <f>IF(ISNUMBER((NºAsuntos!C10+NºAsuntos!E10)/NºAsuntos!G10),(NºAsuntos!C10+NºAsuntos!E10)/NºAsuntos!G10," - ")</f>
        <v>3.2608695652173911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0.88558467741935487</v>
      </c>
      <c r="C14" s="1156">
        <f>IF(ISNUMBER(NºAsuntos!I14/NºAsuntos!G14),NºAsuntos!I14/NºAsuntos!G14," - ")</f>
        <v>2.2891291974957313</v>
      </c>
      <c r="D14" s="1157">
        <f>IF(ISNUMBER('Resol  Asuntos'!D14/NºAsuntos!G14),'Resol  Asuntos'!D14/NºAsuntos!G14," - ")</f>
        <v>0.22424587364826409</v>
      </c>
      <c r="E14" s="1158">
        <f>IF(ISNUMBER((NºAsuntos!C14+NºAsuntos!E14)/NºAsuntos!G14),(NºAsuntos!C14+NºAsuntos!E14)/NºAsuntos!G14," - ")</f>
        <v>3.2891291974957313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1.0731117824773413</v>
      </c>
      <c r="C16" s="498">
        <f>IF(ISNUMBER(NºAsuntos!I16/NºAsuntos!G16),NºAsuntos!I16/NºAsuntos!G16," - ")</f>
        <v>1.1041666666666667</v>
      </c>
      <c r="D16" s="499">
        <f>IF(ISNUMBER('Resol  Asuntos'!D16/NºAsuntos!G16),'Resol  Asuntos'!D16/NºAsuntos!G16," - ")</f>
        <v>0.17961711711711711</v>
      </c>
      <c r="E16" s="500">
        <f>IF(ISNUMBER((NºAsuntos!C16+NºAsuntos!E16)/NºAsuntos!G16),(NºAsuntos!C16+NºAsuntos!E16)/NºAsuntos!G16," - ")</f>
        <v>2.0878378378378377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v>
      </c>
      <c r="C18" s="498">
        <f>IF(ISNUMBER(NºAsuntos!I18/NºAsuntos!G18),NºAsuntos!I18/NºAsuntos!G18," - ")</f>
        <v>0.43459915611814348</v>
      </c>
      <c r="D18" s="499">
        <f>IF(ISNUMBER('Resol  Asuntos'!D18/NºAsuntos!G18),'Resol  Asuntos'!D18/NºAsuntos!G18," - ")</f>
        <v>0.19831223628691982</v>
      </c>
      <c r="E18" s="500">
        <f>IF(ISNUMBER((NºAsuntos!C18+NºAsuntos!E18)/NºAsuntos!G18),(NºAsuntos!C18+NºAsuntos!E18)/NºAsuntos!G18," - ")</f>
        <v>1.4303797468354431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1.0639534883720929</v>
      </c>
      <c r="C23" s="1156">
        <f>IF(ISNUMBER(NºAsuntos!I23/NºAsuntos!G23),NºAsuntos!I23/NºAsuntos!G23," - ")</f>
        <v>1.0263288623944362</v>
      </c>
      <c r="D23" s="1159">
        <f>IF(ISNUMBER('Resol  Asuntos'!D23/NºAsuntos!G23),'Resol  Asuntos'!D23/NºAsuntos!G23," - ")</f>
        <v>0.18181818181818182</v>
      </c>
      <c r="E23" s="1158">
        <f>IF(ISNUMBER((NºAsuntos!C23+NºAsuntos!E23)/NºAsuntos!G23),(NºAsuntos!C23+NºAsuntos!E23)/NºAsuntos!G23," - ")</f>
        <v>2.0114257327372083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0.97265221878224972</v>
      </c>
      <c r="C31" s="1099">
        <f>IF(ISNUMBER(NºAsuntos!I31/NºAsuntos!G31),NºAsuntos!I31/NºAsuntos!G31," - ")</f>
        <v>1.6148541114058355</v>
      </c>
      <c r="D31" s="1100">
        <f>IF(ISNUMBER('Resol  Asuntos'!D31/NºAsuntos!G31),'Resol  Asuntos'!D31/NºAsuntos!G31," - ")</f>
        <v>0.20159151193633953</v>
      </c>
      <c r="E31" s="1101">
        <f>IF(ISNUMBER((NºAsuntos!C31+NºAsuntos!E31)/NºAsuntos!G31),(NºAsuntos!C31+NºAsuntos!E31)/NºAsuntos!G31," - ")</f>
        <v>2.6068965517241378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0giLW6bRkBYJ6kgqHIp4Ckdk7mOQ1Uw3c0vnZwEERrn5IwAQYlqDBcVCmzjfVygKOK7FicNvZF8G4MEtJtAbkg==" saltValue="pHbdQR+RsCEizyMRyqmjH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BENIDORM</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515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539</v>
      </c>
      <c r="Y9" s="374">
        <f>SUM(W9:X9)</f>
        <v>539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6077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385</v>
      </c>
      <c r="AJ9" s="243" t="str">
        <f>IF(ISNUMBER(Datos!BW9),Datos!BW9," - ")</f>
        <v xml:space="preserve"> - </v>
      </c>
      <c r="AK9" s="242" t="str">
        <f>IF(ISNUMBER(Datos!BX9),Datos!BX9," - ")</f>
        <v xml:space="preserve"> - </v>
      </c>
      <c r="AL9" s="266">
        <f>IF(ISNUMBER(NºAsuntos!G9/NºAsuntos!E9),NºAsuntos!G9/NºAsuntos!E9," - ")</f>
        <v>0.88334182373917469</v>
      </c>
      <c r="AM9" s="284">
        <f>IF(ISNUMBER(((NºAsuntos!I9/NºAsuntos!G9)*11)/factor_trimestre),((NºAsuntos!I9/NºAsuntos!G9)*11)/factor_trimestre," - ")</f>
        <v>6.8650519031141872</v>
      </c>
      <c r="AN9" s="267">
        <f>IF(ISNUMBER('Resol  Asuntos'!D9/NºAsuntos!G9),'Resol  Asuntos'!D9/NºAsuntos!G9," - ")</f>
        <v>0.22202998846597463</v>
      </c>
      <c r="AO9" s="268">
        <f>IF(ISNUMBER((NºAsuntos!C9+NºAsuntos!E9)/NºAsuntos!G9),(NºAsuntos!C9+NºAsuntos!E9)/NºAsuntos!G9," - ")</f>
        <v>3.2883506343713957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54</v>
      </c>
      <c r="G10" s="373">
        <f>IF(ISNUMBER(Datos!I10),Datos!I10," - ")</f>
        <v>54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23</v>
      </c>
      <c r="X10" s="240">
        <f>IF(ISNUMBER(Datos!Q10),Datos!Q10," - ")</f>
        <v>3</v>
      </c>
      <c r="Y10" s="374">
        <f t="shared" ref="Y10:Y13" si="0">SUM(W10:X10)</f>
        <v>26</v>
      </c>
      <c r="Z10" s="375" t="str">
        <f>IF(ISNUMBER(Datos!CC10),Datos!CC10," - ")</f>
        <v xml:space="preserve"> - </v>
      </c>
      <c r="AA10" s="372">
        <f>IF(ISNUMBER(Datos!L10),Datos!L10,"-")</f>
        <v>52</v>
      </c>
      <c r="AB10" s="374">
        <f>IF(ISNUMBER(Datos!R10),Datos!R10," - ")</f>
        <v>38</v>
      </c>
      <c r="AC10" s="374">
        <f t="shared" ref="AC10:AC13" si="1">IF(ISNUMBER(AA10+AB10),AA10+AB10," - ")</f>
        <v>90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1.0952380952380953</v>
      </c>
      <c r="AM10" s="284">
        <f>IF(ISNUMBER(((NºAsuntos!I10/NºAsuntos!G10)*11)/factor_trimestre),((NºAsuntos!I10/NºAsuntos!G10)*11)/factor_trimestre," - ")</f>
        <v>6.7826086956521729</v>
      </c>
      <c r="AN10" s="267">
        <f>IF(ISNUMBER('Resol  Asuntos'!D10/NºAsuntos!G10),'Resol  Asuntos'!D10/NºAsuntos!G10," - ")</f>
        <v>0.39130434782608697</v>
      </c>
      <c r="AO10" s="268">
        <f>IF(ISNUMBER((NºAsuntos!C10+NºAsuntos!E10)/NºAsuntos!G10),(NºAsuntos!C10+NºAsuntos!E10)/NºAsuntos!G10," - ")</f>
        <v>3.2608695652173911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54</v>
      </c>
      <c r="G14" s="1163">
        <f t="shared" si="5"/>
        <v>54</v>
      </c>
      <c r="H14" s="1162">
        <f t="shared" si="5"/>
        <v>0</v>
      </c>
      <c r="I14" s="1164">
        <f t="shared" si="5"/>
        <v>0</v>
      </c>
      <c r="J14" s="1164">
        <f t="shared" si="5"/>
        <v>0</v>
      </c>
      <c r="K14" s="1164">
        <f t="shared" si="5"/>
        <v>0</v>
      </c>
      <c r="L14" s="1164">
        <f t="shared" si="5"/>
        <v>519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23</v>
      </c>
      <c r="X14" s="1164">
        <f t="shared" si="6"/>
        <v>542</v>
      </c>
      <c r="Y14" s="1165">
        <f t="shared" si="6"/>
        <v>565</v>
      </c>
      <c r="Z14" s="1165">
        <f t="shared" si="6"/>
        <v>0</v>
      </c>
      <c r="AA14" s="1165">
        <f t="shared" si="6"/>
        <v>52</v>
      </c>
      <c r="AB14" s="1165">
        <f t="shared" si="6"/>
        <v>6145</v>
      </c>
      <c r="AC14" s="1165">
        <f t="shared" si="6"/>
        <v>90</v>
      </c>
      <c r="AD14" s="1165">
        <f t="shared" si="6"/>
        <v>0</v>
      </c>
      <c r="AE14" s="1169">
        <f t="shared" si="6"/>
        <v>0</v>
      </c>
      <c r="AF14" s="1162">
        <f t="shared" si="6"/>
        <v>0</v>
      </c>
      <c r="AG14" s="1170">
        <f t="shared" si="6"/>
        <v>0</v>
      </c>
      <c r="AH14" s="1167">
        <f t="shared" si="6"/>
        <v>0</v>
      </c>
      <c r="AI14" s="1162">
        <f t="shared" si="6"/>
        <v>394</v>
      </c>
      <c r="AJ14" s="1164">
        <f t="shared" si="6"/>
        <v>0</v>
      </c>
      <c r="AK14" s="1167">
        <f>SUBTOTAL(9,AK9:AK13)</f>
        <v>0</v>
      </c>
      <c r="AL14" s="1171">
        <f>IF(ISNUMBER(NºAsuntos!G14/NºAsuntos!E14),NºAsuntos!G14/NºAsuntos!E14," - ")</f>
        <v>0.88558467741935487</v>
      </c>
      <c r="AM14" s="1171">
        <f>IF(ISNUMBER(((NºAsuntos!I14/NºAsuntos!G14)*11)/factor_trimestre),((NºAsuntos!I14/NºAsuntos!G14)*11)/factor_trimestre," - ")</f>
        <v>6.8673875924871943</v>
      </c>
      <c r="AN14" s="1172">
        <f>IF(ISNUMBER('Resol  Asuntos'!D14/NºAsuntos!G14),'Resol  Asuntos'!D14/NºAsuntos!G14," - ")</f>
        <v>0.22424587364826409</v>
      </c>
      <c r="AO14" s="1173">
        <f>IF(ISNUMBER((NºAsuntos!C14+NºAsuntos!E14)/NºAsuntos!G14),(NºAsuntos!C14+NºAsuntos!E14)/NºAsuntos!G14," - ")</f>
        <v>3.2891291974957313</v>
      </c>
      <c r="AP14" s="1174" t="str">
        <f t="shared" si="2"/>
        <v xml:space="preserve"> - </v>
      </c>
      <c r="AQ14" s="1174">
        <f>IF(ISNUMBER((H14-W14+K14)/(F14)),(H14-W14+K14)/(F14)," - ")</f>
        <v>-0.42592592592592593</v>
      </c>
      <c r="AR14" s="1175">
        <f>IF(ISNUMBER((Datos!P14-Datos!Q14)/(Datos!R14-Datos!P14+Datos!Q14)),(Datos!P14-Datos!Q14)/(Datos!R14-Datos!P14+Datos!Q14)," - ")</f>
        <v>-3.7289234760051883E-3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2082</v>
      </c>
      <c r="G16" s="373">
        <f>IF(ISNUMBER(IF(D_I="SI",Datos!I16,Datos!I16+Datos!AC16)),IF(D_I="SI",Datos!I16,Datos!I16+Datos!AC16)," - ")</f>
        <v>2053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101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1776</v>
      </c>
      <c r="X16" s="240">
        <f>IF(ISNUMBER(Datos!Q16),Datos!Q16," - ")</f>
        <v>90</v>
      </c>
      <c r="Y16" s="374">
        <f>SUM(W16)</f>
        <v>1776</v>
      </c>
      <c r="Z16" s="375" t="str">
        <f>IF(ISNUMBER(Datos!CC16),Datos!CC16," - ")</f>
        <v xml:space="preserve"> - </v>
      </c>
      <c r="AA16" s="372">
        <f>IF(ISNUMBER(IF(D_I="SI",Datos!L16,Datos!L16+Datos!AF16)),IF(D_I="SI",Datos!L16,Datos!L16+Datos!AF16)," - ")</f>
        <v>1961</v>
      </c>
      <c r="AB16" s="374">
        <f>IF(ISNUMBER(Datos!R16),Datos!R16," - ")</f>
        <v>336</v>
      </c>
      <c r="AC16" s="374">
        <f t="shared" ref="AC16:AC22" si="8">IF(ISNUMBER(AA16+AB16),AA16+AB16," - ")</f>
        <v>2297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319</v>
      </c>
      <c r="AJ16" s="245" t="str">
        <f>IF(ISNUMBER(Datos!BW16),Datos!BW16," - ")</f>
        <v xml:space="preserve"> - </v>
      </c>
      <c r="AK16" s="246" t="str">
        <f>IF(ISNUMBER(Datos!BX16),Datos!BX16," - ")</f>
        <v xml:space="preserve"> - </v>
      </c>
      <c r="AL16" s="266">
        <f>IF(ISNUMBER(NºAsuntos!G16/NºAsuntos!E16),NºAsuntos!G16/NºAsuntos!E16," - ")</f>
        <v>1.0731117824773413</v>
      </c>
      <c r="AM16" s="284">
        <f>IF(ISNUMBER(((NºAsuntos!I16/NºAsuntos!G16)*11)/factor_trimestre),((NºAsuntos!I16/NºAsuntos!G16)*11)/factor_trimestre," - ")</f>
        <v>3.3125000000000004</v>
      </c>
      <c r="AN16" s="267">
        <f>IF(ISNUMBER('Resol  Asuntos'!D16/NºAsuntos!G16),'Resol  Asuntos'!D16/NºAsuntos!G16," - ")</f>
        <v>0.17961711711711711</v>
      </c>
      <c r="AO16" s="268">
        <f>IF(ISNUMBER((NºAsuntos!C16+NºAsuntos!E16)/NºAsuntos!G16),(NºAsuntos!C16+NºAsuntos!E16)/NºAsuntos!G16," - ")</f>
        <v>2.0878378378378377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2</v>
      </c>
      <c r="G17" s="373">
        <f>IF(ISNUMBER(IF(D_I="SI",Datos!I17,Datos!I17+Datos!AC17)),IF(D_I="SI",Datos!I17,Datos!I17+Datos!AC17)," - ")</f>
        <v>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2</v>
      </c>
      <c r="AB17" s="374">
        <f>IF(ISNUMBER(Datos!R17),Datos!R17," - ")</f>
        <v>0</v>
      </c>
      <c r="AC17" s="374">
        <f t="shared" si="8"/>
        <v>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102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237</v>
      </c>
      <c r="X18" s="240">
        <f>IF(ISNUMBER(Datos!Q18),Datos!Q18," - ")</f>
        <v>3</v>
      </c>
      <c r="Y18" s="374">
        <f t="shared" si="9"/>
        <v>240</v>
      </c>
      <c r="Z18" s="375" t="str">
        <f>IF(ISNUMBER(Datos!CC18),Datos!CC18," - ")</f>
        <v xml:space="preserve"> - </v>
      </c>
      <c r="AA18" s="372">
        <f>IF(ISNUMBER(Datos!L18),Datos!L18,"-")</f>
        <v>103</v>
      </c>
      <c r="AB18" s="374">
        <f>IF(ISNUMBER(Datos!R18),Datos!R18," - ")</f>
        <v>3</v>
      </c>
      <c r="AC18" s="374">
        <f t="shared" si="8"/>
        <v>106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47</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1.3037974683544304</v>
      </c>
      <c r="AN18" s="267">
        <f>IF(ISNUMBER('Resol  Asuntos'!D18/NºAsuntos!G18),'Resol  Asuntos'!D18/NºAsuntos!G18," - ")</f>
        <v>0.19831223628691982</v>
      </c>
      <c r="AO18" s="268">
        <f>IF(ISNUMBER((NºAsuntos!C18+NºAsuntos!E18)/NºAsuntos!G18),(NºAsuntos!C18+NºAsuntos!E18)/NºAsuntos!G18," - ")</f>
        <v>1.4303797468354431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2084</v>
      </c>
      <c r="G23" s="1163">
        <f>SUBTOTAL(9,G16:G22)</f>
        <v>2157</v>
      </c>
      <c r="H23" s="1162">
        <f t="shared" ref="H23:O23" si="13">SUBTOTAL(9,H15:H22)</f>
        <v>0</v>
      </c>
      <c r="I23" s="1164">
        <f t="shared" si="13"/>
        <v>0</v>
      </c>
      <c r="J23" s="1164">
        <f t="shared" si="13"/>
        <v>0</v>
      </c>
      <c r="K23" s="1164">
        <f t="shared" si="13"/>
        <v>0</v>
      </c>
      <c r="L23" s="1164">
        <f t="shared" si="13"/>
        <v>103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2013</v>
      </c>
      <c r="X23" s="1164">
        <f t="shared" si="14"/>
        <v>93</v>
      </c>
      <c r="Y23" s="1165">
        <f t="shared" si="14"/>
        <v>2016</v>
      </c>
      <c r="Z23" s="1165">
        <f t="shared" si="14"/>
        <v>0</v>
      </c>
      <c r="AA23" s="1165">
        <f t="shared" si="14"/>
        <v>2066</v>
      </c>
      <c r="AB23" s="1165">
        <f t="shared" si="14"/>
        <v>339</v>
      </c>
      <c r="AC23" s="1165">
        <f t="shared" si="14"/>
        <v>2405</v>
      </c>
      <c r="AD23" s="1165">
        <f t="shared" si="14"/>
        <v>0</v>
      </c>
      <c r="AE23" s="1169">
        <f t="shared" si="14"/>
        <v>0</v>
      </c>
      <c r="AF23" s="1162">
        <f t="shared" si="14"/>
        <v>0</v>
      </c>
      <c r="AG23" s="1170">
        <f t="shared" si="14"/>
        <v>0</v>
      </c>
      <c r="AH23" s="1167">
        <f t="shared" si="14"/>
        <v>0</v>
      </c>
      <c r="AI23" s="1162">
        <f t="shared" si="14"/>
        <v>366</v>
      </c>
      <c r="AJ23" s="1164">
        <f t="shared" si="14"/>
        <v>0</v>
      </c>
      <c r="AK23" s="1167">
        <f t="shared" si="14"/>
        <v>0</v>
      </c>
      <c r="AL23" s="1171">
        <f>IF(ISNUMBER(NºAsuntos!G23/NºAsuntos!E23),NºAsuntos!G23/NºAsuntos!E23," - ")</f>
        <v>1.0639534883720929</v>
      </c>
      <c r="AM23" s="1171">
        <f>IF(ISNUMBER(((NºAsuntos!I23/NºAsuntos!G23)*11)/factor_trimestre),((NºAsuntos!I23/NºAsuntos!G23)*11)/factor_trimestre," - ")</f>
        <v>3.0789865871833086</v>
      </c>
      <c r="AN23" s="1172">
        <f>IF(ISNUMBER('Resol  Asuntos'!D23/NºAsuntos!G23),'Resol  Asuntos'!D23/NºAsuntos!G23," - ")</f>
        <v>0.18181818181818182</v>
      </c>
      <c r="AO23" s="1173">
        <f>IF(ISNUMBER((NºAsuntos!C23+NºAsuntos!E23)/NºAsuntos!G23),(NºAsuntos!C23+NºAsuntos!E23)/NºAsuntos!G23," - ")</f>
        <v>2.0114257327372083</v>
      </c>
      <c r="AP23" s="1174" t="str">
        <f t="shared" si="2"/>
        <v xml:space="preserve"> - </v>
      </c>
      <c r="AQ23" s="1174">
        <f>IF(ISNUMBER((H23-W23+K23)/(F23)),(H23-W23+K23)/(F23)," - ")</f>
        <v>-0.96593090211132437</v>
      </c>
      <c r="AR23" s="1175">
        <f>IF(ISNUMBER((Datos!P23-Datos!Q23)/(Datos!R23-Datos!P23+Datos!Q23)),(Datos!P23-Datos!Q23)/(Datos!R23-Datos!P23+Datos!Q23)," - ")</f>
        <v>3.0395136778115502E-2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2138</v>
      </c>
      <c r="G31" s="1118">
        <f t="shared" si="20"/>
        <v>2211</v>
      </c>
      <c r="H31" s="1117">
        <f t="shared" si="20"/>
        <v>0</v>
      </c>
      <c r="I31" s="1119">
        <f t="shared" si="20"/>
        <v>0</v>
      </c>
      <c r="J31" s="1119">
        <f t="shared" si="20"/>
        <v>0</v>
      </c>
      <c r="K31" s="1180">
        <f t="shared" si="20"/>
        <v>0</v>
      </c>
      <c r="L31" s="1119">
        <f t="shared" si="20"/>
        <v>622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2036</v>
      </c>
      <c r="X31" s="1118">
        <f t="shared" si="21"/>
        <v>635</v>
      </c>
      <c r="Y31" s="1125">
        <f t="shared" si="21"/>
        <v>2581</v>
      </c>
      <c r="Z31" s="1125">
        <f t="shared" si="21"/>
        <v>0</v>
      </c>
      <c r="AA31" s="1125">
        <f t="shared" si="21"/>
        <v>2118</v>
      </c>
      <c r="AB31" s="1125">
        <f t="shared" si="21"/>
        <v>6484</v>
      </c>
      <c r="AC31" s="1125">
        <f t="shared" si="21"/>
        <v>2495</v>
      </c>
      <c r="AD31" s="1125">
        <f t="shared" si="21"/>
        <v>0</v>
      </c>
      <c r="AE31" s="1127">
        <f t="shared" si="21"/>
        <v>0</v>
      </c>
      <c r="AF31" s="1128">
        <f t="shared" si="21"/>
        <v>0</v>
      </c>
      <c r="AG31" s="1129">
        <f t="shared" si="21"/>
        <v>0</v>
      </c>
      <c r="AH31" s="1127">
        <f t="shared" si="21"/>
        <v>0</v>
      </c>
      <c r="AI31" s="1117">
        <f t="shared" si="21"/>
        <v>760</v>
      </c>
      <c r="AJ31" s="1117">
        <f t="shared" si="21"/>
        <v>0</v>
      </c>
      <c r="AK31" s="1127">
        <f t="shared" si="21"/>
        <v>0</v>
      </c>
      <c r="AL31" s="1183">
        <f>IF(ISNUMBER(NºAsuntos!G31/NºAsuntos!E31),NºAsuntos!G31/NºAsuntos!E31," - ")</f>
        <v>0.97265221878224972</v>
      </c>
      <c r="AM31" s="1184">
        <f>IF(ISNUMBER(((NºAsuntos!I31/NºAsuntos!G31)*11)/factor_trimestre),((NºAsuntos!I31/NºAsuntos!G31)*11)/factor_trimestre," - ")</f>
        <v>4.8445623342175068</v>
      </c>
      <c r="AN31" s="1184">
        <f>IF(ISNUMBER('Resol  Asuntos'!D31/NºAsuntos!G31),'Resol  Asuntos'!D31/NºAsuntos!G31," - ")</f>
        <v>0.20159151193633953</v>
      </c>
      <c r="AO31" s="1185">
        <f>IF(ISNUMBER((NºAsuntos!C31+NºAsuntos!E31)/NºAsuntos!G31),(NºAsuntos!C31+NºAsuntos!E31)/NºAsuntos!G31," - ")</f>
        <v>2.6068965517241378</v>
      </c>
      <c r="AP31" s="1186" t="str">
        <f t="shared" si="2"/>
        <v xml:space="preserve"> - </v>
      </c>
      <c r="AQ31" s="1187">
        <f>IF(OR(ISNUMBER(FIND("01",Criterios!A8,1)),ISNUMBER(FIND("02",Criterios!A8,1)),ISNUMBER(FIND("03",Criterios!A8,1)),ISNUMBER(FIND("04",Criterios!A8,1))),(I31-W31+K31)/(F31-K31),(H31-W31+K31)/(F31-K31))</f>
        <v>-0.95229186155285317</v>
      </c>
      <c r="AR31" s="1188">
        <f>IF(ISNUMBER((Datos!P31-Datos!Q31)/(Datos!R31-Datos!P31+Datos!Q31)),(Datos!P31-Datos!Q31)/(Datos!R31-Datos!P31+Datos!Q31)," - ")</f>
        <v>-2.0009235031553025E-3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552.75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2.0886773564663366</v>
      </c>
      <c r="F33" s="276">
        <f>IF(ISNUMBER(STDEV(F8:F30)),STDEV(F8:F30),"-")</f>
        <v>1005.9482141361998</v>
      </c>
      <c r="G33" s="277">
        <f>IF(ISNUMBER(STDEV(G8:G30)),STDEV(G8:G30),"-")</f>
        <v>959.12441469141163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861.13911270396466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185.72021968541821</v>
      </c>
      <c r="AJ33" s="276">
        <f t="shared" si="25"/>
        <v>0</v>
      </c>
      <c r="AK33" s="278">
        <f t="shared" si="25"/>
        <v>0</v>
      </c>
      <c r="AL33" s="273">
        <f t="shared" si="25"/>
        <v>9.5084615191643976E-2</v>
      </c>
      <c r="AM33" s="274">
        <f t="shared" si="25"/>
        <v>2.4416917199509549</v>
      </c>
      <c r="AN33" s="274">
        <f t="shared" si="25"/>
        <v>7.9912100146956364E-2</v>
      </c>
      <c r="AO33" s="275">
        <f t="shared" si="25"/>
        <v>0.81893153363032845</v>
      </c>
      <c r="AP33" s="317" t="str">
        <f t="shared" si="25"/>
        <v>-</v>
      </c>
      <c r="AQ33" s="318">
        <f t="shared" si="25"/>
        <v>0.3818411805351753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1aZm+oYCdVA5k0Ydm2GlAOC7OxxtYG329XKf3s5gr3OR/mhLr6X4tmyvDPTzhGM/4IQbTnDQCLS7TEyEUXQXig==" saltValue="yOBhotk+e4kPwLinqDQAE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BENIDORM</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-0.17381974248927037</v>
      </c>
      <c r="I9" s="395">
        <f>IF(ISNUMBER((Tasas!C9-Datos!BE9)/Datos!BE9),(Tasas!C9-Datos!BE9)/Datos!BE9," - ")</f>
        <v>0.28922056543919694</v>
      </c>
      <c r="J9" s="394">
        <f>IF(ISNUMBER((Tasas!D9-Datos!BF9)/Datos!BF9),(Tasas!D9-Datos!BF9)/Datos!BF9," - ")</f>
        <v>-0.42481772120612948</v>
      </c>
      <c r="K9" s="396">
        <f>IF(ISNUMBER((Tasas!E9-Datos!BG9)/Datos!BG9),(Tasas!E9-Datos!BG9)/Datos!BG9," - ")</f>
        <v>0.18604868378765843</v>
      </c>
      <c r="M9" t="e">
        <f>IF(Monitorios="SI",Datos!CE9,0)</f>
        <v>#REF!</v>
      </c>
      <c r="N9" t="e">
        <f>IF(Monitorios="SI",Datos!CF9,0)</f>
        <v>#REF!</v>
      </c>
      <c r="O9" t="e">
        <f>IF(Monitorios="SI",Datos!CG9,0)</f>
        <v>#REF!</v>
      </c>
      <c r="P9" t="e">
        <f>IF(Monitorios="SI",Datos!CH9,0)</f>
        <v>#REF!</v>
      </c>
      <c r="Q9">
        <f>IF(J_V="SI",0,Datos!AG9)</f>
        <v>140</v>
      </c>
      <c r="R9">
        <f>IF(J_V="SI",0,Datos!AH9)</f>
        <v>158</v>
      </c>
      <c r="S9">
        <f>IF(J_V="SI",0,Datos!AI9)</f>
        <v>168</v>
      </c>
      <c r="T9">
        <f>IF(J_V="SI",0,Datos!AJ9)</f>
        <v>130</v>
      </c>
    </row>
    <row r="10" spans="2:20" ht="14.25">
      <c r="B10" s="300" t="s">
        <v>321</v>
      </c>
      <c r="C10" s="7" t="str">
        <f>Datos!A10</f>
        <v>Jdos. Violencia contra la mujer</v>
      </c>
      <c r="D10" s="397">
        <f>IF(ISNUMBER((Datos!I10-Datos!S10)/Datos!S10),(Datos!I10-Datos!S10)/Datos!S10," - ")</f>
        <v>0.10204081632653061</v>
      </c>
      <c r="E10" s="393">
        <f>IF(ISNUMBER((Datos!J10-Datos!T10)/Datos!T10),(Datos!J10-Datos!T10)/Datos!T10," - ")</f>
        <v>0.05</v>
      </c>
      <c r="F10" s="393">
        <f>IF(ISNUMBER((Datos!K10-Datos!U10)/Datos!U10),(Datos!K10-Datos!U10)/Datos!U10," - ")</f>
        <v>-0.08</v>
      </c>
      <c r="G10" s="394">
        <f>IF(ISNUMBER((Datos!L10-Datos!V10)/Datos!V10),(Datos!L10-Datos!V10)/Datos!V10," - ")</f>
        <v>0.18181818181818182</v>
      </c>
      <c r="H10" s="244">
        <f>IF(ISNUMBER((Datos!M10-Datos!W10)/Datos!W10),(Datos!M10-Datos!W10)/Datos!W10," - ")</f>
        <v>0</v>
      </c>
      <c r="I10" s="395">
        <f>IF(ISNUMBER((Tasas!C10-Datos!BE10)/Datos!BE10),(Tasas!C10-Datos!BE10)/Datos!BE10," - ")</f>
        <v>0.28458498023715406</v>
      </c>
      <c r="J10" s="394">
        <f>IF(ISNUMBER((Tasas!D10-Datos!BF10)/Datos!BF10),(Tasas!D10-Datos!BF10)/Datos!BF10," - ")</f>
        <v>8.6956521739130516E-2</v>
      </c>
      <c r="K10" s="396">
        <f>IF(ISNUMBER((Tasas!E10-Datos!BG10)/Datos!BG10),(Tasas!E10-Datos!BG10)/Datos!BG10," - ")</f>
        <v>0.18147448015122877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-0.17400419287211741</v>
      </c>
      <c r="I14" s="402">
        <f>IF(ISNUMBER((Tasas!C14-Datos!BE14)/Datos!BE14),(Tasas!C14-Datos!BE14)/Datos!BE14," - ")</f>
        <v>0.28998573068078182</v>
      </c>
      <c r="J14" s="400">
        <f>IF(ISNUMBER((Tasas!D14-Datos!BF14)/Datos!BF14),(Tasas!D14-Datos!BF14)/Datos!BF14," - ")</f>
        <v>-0.4180352989052617</v>
      </c>
      <c r="K14" s="403">
        <f>IF(ISNUMBER((Tasas!E14-Datos!BG14)/Datos!BG14),(Tasas!E14-Datos!BG14)/Datos!BG14," - ")</f>
        <v>0.18650795590643565</v>
      </c>
      <c r="M14" t="e">
        <f>IF(Monitorios="SI",Datos!CE14,0)</f>
        <v>#REF!</v>
      </c>
      <c r="N14" t="e">
        <f>IF(Monitorios="SI",Datos!CF14,0)</f>
        <v>#REF!</v>
      </c>
      <c r="O14" t="e">
        <f>IF(Monitorios="SI",Datos!CG14,0)</f>
        <v>#REF!</v>
      </c>
      <c r="P14" t="e">
        <f>IF(Monitorios="SI",Datos!CH14,0)</f>
        <v>#REF!</v>
      </c>
      <c r="Q14">
        <f>IF(J_V="SI",0,Datos!AG14)</f>
        <v>140</v>
      </c>
      <c r="R14">
        <f>IF(J_V="SI",0,Datos!AH14)</f>
        <v>158</v>
      </c>
      <c r="S14">
        <f>IF(J_V="SI",0,Datos!AI14)</f>
        <v>168</v>
      </c>
      <c r="T14">
        <f>IF(J_V="SI",0,Datos!AJ14)</f>
        <v>130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-4.1549953314659195E-2</v>
      </c>
      <c r="E16" s="393">
        <f>IF(ISNUMBER(
   IF(D_I="SI",(Datos!J16-Datos!T16)/Datos!T16,(Datos!J16+Datos!AD16-(Datos!T16+Datos!AL16))/(Datos!T16+Datos!AL16))
     ),IF(D_I="SI",(Datos!J16-Datos!T16)/Datos!T16,(Datos!J16+Datos!AD16-(Datos!T16+Datos!AL16))/(Datos!T16+Datos!AL16))," - ")</f>
        <v>-3.0120481927710845E-3</v>
      </c>
      <c r="F16" s="393">
        <f>IF(ISNUMBER(
   IF(D_I="SI",(Datos!K16-Datos!U16)/Datos!U16,(Datos!K16+Datos!AE16-(Datos!U16+Datos!AM16))/(Datos!U16+Datos!AM16))
     ),IF(D_I="SI",(Datos!K16-Datos!U16)/Datos!U16,(Datos!K16+Datos!AE16-(Datos!U16+Datos!AM16))/(Datos!U16+Datos!AM16))," - ")</f>
        <v>3.9570378745053701E-3</v>
      </c>
      <c r="G16" s="394">
        <f>IF(ISNUMBER(
   IF(D_I="SI",(Datos!L16-Datos!V16)/Datos!V16,(Datos!L16+Datos!AF16-(Datos!V16+Datos!AN16))/(Datos!V16+Datos!AN16))
     ),IF(D_I="SI",(Datos!L16-Datos!V16)/Datos!V16,(Datos!L16+Datos!AF16-(Datos!V16+Datos!AN16))/(Datos!V16+Datos!AN16))," - ")</f>
        <v>-2.8727092620108963E-2</v>
      </c>
      <c r="H16" s="244">
        <f>IF(ISNUMBER((Datos!M16-Datos!W16)/Datos!W16),(Datos!M16-Datos!W16)/Datos!W16," - ")</f>
        <v>-0.1424731182795699</v>
      </c>
      <c r="I16" s="395">
        <f>IF(ISNUMBER((Tasas!C16-Datos!BE16)/Datos!BE16),(Tasas!C16-Datos!BE16)/Datos!BE16," - ")</f>
        <v>-3.2555307908205232E-2</v>
      </c>
      <c r="J16" s="394">
        <f>IF(ISNUMBER((Tasas!D16-Datos!BF16)/Datos!BF16),(Tasas!D16-Datos!BF16)/Datos!BF16," - ")</f>
        <v>-0.14585301026833289</v>
      </c>
      <c r="K16" s="396">
        <f>IF(ISNUMBER((Tasas!E16-Datos!BG16)/Datos!BG16),(Tasas!E16-Datos!BG16)/Datos!BG16," - ")</f>
        <v>-2.8567823478397005E-2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-9.7345132743362831E-2</v>
      </c>
      <c r="E18" s="393">
        <f>IF(ISNUMBER(
   IF(D_I="SI",(Datos!J18-Datos!T18)/Datos!T18,(Datos!J18+Datos!AD18-(Datos!T18+Datos!AL18))/(Datos!T18+Datos!AL18))
     ),IF(D_I="SI",(Datos!J18-Datos!T18)/Datos!T18,(Datos!J18+Datos!AD18-(Datos!T18+Datos!AL18))/(Datos!T18+Datos!AL18))," - ")</f>
        <v>0.34659090909090912</v>
      </c>
      <c r="F18" s="393">
        <f>IF(ISNUMBER(
   IF(D_I="SI",(Datos!K18-Datos!U18)/Datos!U18,(Datos!K18+Datos!AE18-(Datos!U18+Datos!AM18))/(Datos!U18+Datos!AM18))
     ),IF(D_I="SI",(Datos!K18-Datos!U18)/Datos!U18,(Datos!K18+Datos!AE18-(Datos!U18+Datos!AM18))/(Datos!U18+Datos!AM18))," - ")</f>
        <v>0.234375</v>
      </c>
      <c r="G18" s="394">
        <f>IF(ISNUMBER(
   IF(D_I="SI",(Datos!L18-Datos!V18)/Datos!V18,(Datos!L18+Datos!AF18-(Datos!V18+Datos!AN18))/(Datos!V18+Datos!AN18))
     ),IF(D_I="SI",(Datos!L18-Datos!V18)/Datos!V18,(Datos!L18+Datos!AF18-(Datos!V18+Datos!AN18))/(Datos!V18+Datos!AN18))," - ")</f>
        <v>6.1855670103092786E-2</v>
      </c>
      <c r="H18" s="244">
        <f>IF(ISNUMBER((Datos!M18-Datos!W18)/Datos!W18),(Datos!M18-Datos!W18)/Datos!W18," - ")</f>
        <v>1.0434782608695652</v>
      </c>
      <c r="I18" s="395">
        <f>IF(ISNUMBER((Tasas!C18-Datos!BE18)/Datos!BE18),(Tasas!C18-Datos!BE18)/Datos!BE18," - ")</f>
        <v>-0.13976249510635524</v>
      </c>
      <c r="J18" s="394">
        <f>IF(ISNUMBER((Tasas!D18-Datos!BF18)/Datos!BF18),(Tasas!D18-Datos!BF18)/Datos!BF18," - ")</f>
        <v>0.65547605943863496</v>
      </c>
      <c r="K18" s="396">
        <f>IF(ISNUMBER((Tasas!E18-Datos!BG18)/Datos!BG18),(Tasas!E18-Datos!BG18)/Datos!BG18," - ")</f>
        <v>-4.9713109368840519E-2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-4.4306601683650866E-2</v>
      </c>
      <c r="E23" s="399">
        <f>IF(ISNUMBER(
   IF(D_I="SI",(Datos!J23-Datos!T23)/Datos!T23,(Datos!J23+Datos!AD23-(Datos!T23+Datos!AL23))/(Datos!T23+Datos!AL23))
     ),IF(D_I="SI",(Datos!J23-Datos!T23)/Datos!T23,(Datos!J23+Datos!AD23-(Datos!T23+Datos!AL23))/(Datos!T23+Datos!AL23))," - ")</f>
        <v>3.0501089324618737E-2</v>
      </c>
      <c r="F23" s="399">
        <f>IF(ISNUMBER(
   IF(D_I="SI",(Datos!K23-Datos!U23)/Datos!U23,(Datos!K23+Datos!AE23-(Datos!U23+Datos!AM23))/(Datos!U23+Datos!AM23))
     ),IF(D_I="SI",(Datos!K23-Datos!U23)/Datos!U23,(Datos!K23+Datos!AE23-(Datos!U23+Datos!AM23))/(Datos!U23+Datos!AM23))," - ")</f>
        <v>2.6517083120856707E-2</v>
      </c>
      <c r="G23" s="400">
        <f>IF(ISNUMBER(
   IF(D_I="SI",(Datos!L23-Datos!V23)/Datos!V23,(Datos!L23+Datos!AF23-(Datos!V23+Datos!AN23))/(Datos!V23+Datos!AN23))
     ),IF(D_I="SI",(Datos!L23-Datos!V23)/Datos!V23,(Datos!L23+Datos!AF23-(Datos!V23+Datos!AN23))/(Datos!V23+Datos!AN23))," - ")</f>
        <v>-2.4551463644948063E-2</v>
      </c>
      <c r="H23" s="401">
        <f>IF(ISNUMBER((Datos!M23-Datos!W23)/Datos!W23),(Datos!M23-Datos!W23)/Datos!W23," - ")</f>
        <v>-7.3417721518987344E-2</v>
      </c>
      <c r="I23" s="402">
        <f>IF(ISNUMBER((Tasas!C23-Datos!BE23)/Datos!BE23),(Tasas!C23-Datos!BE23)/Datos!BE23," - ")</f>
        <v>-4.9749339397785981E-2</v>
      </c>
      <c r="J23" s="400">
        <f>IF(ISNUMBER((Tasas!D23-Datos!BF23)/Datos!BF23),(Tasas!D23-Datos!BF23)/Datos!BF23," - ")</f>
        <v>-9.7353279631760575E-2</v>
      </c>
      <c r="K23" s="403">
        <f>IF(ISNUMBER((Tasas!E23-Datos!BG23)/Datos!BG23),(Tasas!E23-Datos!BG23)/Datos!BG23," - ")</f>
        <v>-3.6304455925319973E-2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-4.752760441670667E-2</v>
      </c>
      <c r="E31" s="409">
        <f>IF(ISNUMBER(
   IF(J_V="SI",(Datos!J31-Datos!T31)/Datos!T31,(Datos!J31+Datos!Z31-(Datos!T31+Datos!AH31))/(Datos!T31+Datos!AH31))
     ),IF(J_V="SI",(Datos!J31-Datos!T31)/Datos!T31,(Datos!J31+Datos!Z31-(Datos!T31+Datos!AH31))/(Datos!T31+Datos!AH31))," - ")</f>
        <v>9.2138630600169066E-2</v>
      </c>
      <c r="F31" s="409">
        <f>IF(ISNUMBER(
   IF(J_V="SI",(Datos!K31-Datos!U31)/Datos!U31,(Datos!K31+Datos!AA31-(Datos!U31+Datos!AI31))/(Datos!U31+Datos!AI31))
     ),IF(J_V="SI",(Datos!K31-Datos!U31)/Datos!U31,(Datos!K31+Datos!AA31-(Datos!U31+Datos!AI31))/(Datos!U31+Datos!AI31))," - ")</f>
        <v>-6.1955710375715352E-2</v>
      </c>
      <c r="G31" s="410">
        <f>IF(ISNUMBER(
   IF(J_V="SI",(Datos!L31-Datos!V31)/Datos!V31,(Datos!L31+Datos!AB31-(Datos!V31+Datos!AJ31))/(Datos!V31+Datos!AJ31))
     ),IF(J_V="SI",(Datos!L31-Datos!V31)/Datos!V31,(Datos!L31+Datos!AB31-(Datos!V31+Datos!AJ31))/(Datos!V31+Datos!AJ31))," - ")</f>
        <v>5.5112651646447137E-2</v>
      </c>
      <c r="H31" s="411">
        <f>IF(ISNUMBER((Datos!M31-Datos!W31)/Datos!W31),(Datos!M31-Datos!W31)/Datos!W31," - ")</f>
        <v>-0.12844036697247707</v>
      </c>
      <c r="I31" s="408">
        <f>IF(ISNUMBER((Tasas!C31-Datos!BE31)/Datos!BE31),(Tasas!C31-Datos!BE31)/Datos!BE31," - ")</f>
        <v>0.12480046338649085</v>
      </c>
      <c r="J31" s="409">
        <f>IF(ISNUMBER((Tasas!D31-Datos!BF31)/Datos!BF31),(Tasas!D31-Datos!BF31)/Datos!BF31," - ")</f>
        <v>-0.31801659387866277</v>
      </c>
      <c r="K31" s="410">
        <f>IF(ISNUMBER((Tasas!E31-Datos!BG31)/Datos!BG31),(Tasas!E31-Datos!BG31)/Datos!BG31," - ")</f>
        <v>6.9311822961758529E-2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7.4599697098645598E-2</v>
      </c>
      <c r="E33" s="303">
        <f t="shared" si="1"/>
        <v>0.16186794628496073</v>
      </c>
      <c r="F33" s="303">
        <f t="shared" si="1"/>
        <v>0.13355168174130091</v>
      </c>
      <c r="G33" s="304">
        <f t="shared" si="1"/>
        <v>8.81219632944618E-2</v>
      </c>
      <c r="H33" s="310">
        <f t="shared" si="1"/>
        <v>0.59670800725075079</v>
      </c>
      <c r="I33" s="302">
        <f t="shared" si="1"/>
        <v>0.20157494535880244</v>
      </c>
      <c r="J33" s="303">
        <f t="shared" si="1"/>
        <v>0.40087523796886804</v>
      </c>
      <c r="K33" s="304">
        <f t="shared" si="1"/>
        <v>0.12227217141288328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VjJJeON+bSKC7asf4T4FnxUz2tbuq3ihNIPdX6Vc3t7MwCePLoMgOdwqlCjgEj88v46iKAe9s4uh65pINqqjw==" saltValue="aNJqPkqJuP56MunAD/SPF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